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rambulo\Desktop\PRODUCTO CASA HABITACION\PLANES\"/>
    </mc:Choice>
  </mc:AlternateContent>
  <bookViews>
    <workbookView xWindow="0" yWindow="60" windowWidth="15360" windowHeight="7095"/>
  </bookViews>
  <sheets>
    <sheet name="COTIZACION" sheetId="3" r:id="rId1"/>
  </sheets>
  <definedNames>
    <definedName name="_xlnm.Print_Area" localSheetId="0">COTIZACION!$A$1:$D$55,COTIZACION!$A$59:$D$111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J17" i="3" l="1"/>
  <c r="I16" i="3"/>
  <c r="L13" i="3"/>
  <c r="K13" i="3" s="1"/>
  <c r="M7" i="3" l="1"/>
  <c r="O2" i="3" s="1"/>
  <c r="B20" i="3" l="1"/>
  <c r="B93" i="3"/>
  <c r="B102" i="3" l="1"/>
  <c r="B101" i="3"/>
  <c r="C26" i="3" l="1"/>
  <c r="J20" i="3" l="1"/>
  <c r="D27" i="3" l="1"/>
  <c r="D73" i="3"/>
  <c r="B73" i="3"/>
  <c r="L21" i="3"/>
  <c r="K21" i="3" s="1"/>
  <c r="J13" i="3" l="1"/>
  <c r="K17" i="3"/>
  <c r="D30" i="3" l="1"/>
  <c r="D29" i="3"/>
  <c r="D32" i="3" l="1"/>
  <c r="B50" i="3"/>
  <c r="N33" i="3"/>
  <c r="J33" i="3"/>
  <c r="J34" i="3"/>
  <c r="J35" i="3"/>
  <c r="J36" i="3"/>
  <c r="J37" i="3"/>
  <c r="J32" i="3"/>
  <c r="J31" i="3"/>
  <c r="J30" i="3"/>
  <c r="J29" i="3"/>
  <c r="I15" i="3" l="1"/>
  <c r="K4" i="3" l="1"/>
  <c r="Q24" i="3"/>
  <c r="D31" i="3" l="1"/>
  <c r="B52" i="3"/>
  <c r="O38" i="3"/>
  <c r="B55" i="3" s="1"/>
  <c r="D60" i="3"/>
  <c r="D51" i="3" l="1"/>
  <c r="K3" i="3" l="1"/>
  <c r="D2" i="3" l="1"/>
  <c r="B54" i="3" l="1"/>
  <c r="C34" i="3" l="1"/>
  <c r="C35" i="3"/>
  <c r="H30" i="3"/>
  <c r="C37" i="3" s="1"/>
  <c r="D33" i="3"/>
  <c r="D34" i="3" l="1"/>
  <c r="H33" i="3" s="1"/>
  <c r="D40" i="3" s="1"/>
  <c r="C36" i="3"/>
  <c r="Q33" i="3" l="1"/>
  <c r="Q36" i="3"/>
  <c r="D41" i="3"/>
  <c r="D42" i="3"/>
  <c r="Q35" i="3"/>
  <c r="Q37" i="3"/>
  <c r="Q32" i="3"/>
  <c r="Q34" i="3"/>
  <c r="Q31" i="3" l="1"/>
  <c r="O31" i="3" s="1"/>
  <c r="D43" i="3" s="1"/>
  <c r="D44" i="3" s="1"/>
  <c r="D45" i="3" l="1"/>
  <c r="D47" i="3" s="1"/>
  <c r="K25" i="3" s="1"/>
  <c r="K26" i="3" s="1"/>
  <c r="D52" i="3" s="1"/>
  <c r="Q20" i="3" l="1"/>
  <c r="Q21" i="3" s="1"/>
  <c r="Q22" i="3" s="1"/>
  <c r="Q23" i="3" s="1"/>
  <c r="C54" i="3" s="1"/>
  <c r="R23" i="3" l="1"/>
  <c r="S23" i="3" s="1"/>
  <c r="C55" i="3"/>
</calcChain>
</file>

<file path=xl/sharedStrings.xml><?xml version="1.0" encoding="utf-8"?>
<sst xmlns="http://schemas.openxmlformats.org/spreadsheetml/2006/main" count="129" uniqueCount="120">
  <si>
    <t xml:space="preserve"> </t>
  </si>
  <si>
    <t>Tipo de Poliza:</t>
  </si>
  <si>
    <t>Riesgos Nombrados</t>
  </si>
  <si>
    <t>EJECUTIVO (a)</t>
  </si>
  <si>
    <t>Todo Riesgo para Propiedades</t>
  </si>
  <si>
    <t>BROKER:</t>
  </si>
  <si>
    <t>CLIENTE:</t>
  </si>
  <si>
    <t>UBICACIÓN:</t>
  </si>
  <si>
    <t>DETALLE DE RUBROS :</t>
  </si>
  <si>
    <t>SUMA ASEGURADA</t>
  </si>
  <si>
    <t>Prima Neta:</t>
  </si>
  <si>
    <t>Super Intendencia de Bancos 3.5%</t>
  </si>
  <si>
    <t>Seguro Social Campesino 0.50%</t>
  </si>
  <si>
    <t>Derecho de Emision</t>
  </si>
  <si>
    <t>Subtotal:</t>
  </si>
  <si>
    <t>Contado</t>
  </si>
  <si>
    <t>Rubros:</t>
  </si>
  <si>
    <t>Edificio e Instalaciones</t>
  </si>
  <si>
    <t>Contenido</t>
  </si>
  <si>
    <t>Mercaderias</t>
  </si>
  <si>
    <t>Maquinarias</t>
  </si>
  <si>
    <t>Equipo Electrónico</t>
  </si>
  <si>
    <t>Coberturas:</t>
  </si>
  <si>
    <t>Documentos y Modelos</t>
  </si>
  <si>
    <t>Clausula Electrica</t>
  </si>
  <si>
    <t>Gastos de Extincion de Incendio</t>
  </si>
  <si>
    <t>Vidrios y Cristales</t>
  </si>
  <si>
    <t>Arrendamiento USD$ 500 por mes, maximo 3 meses</t>
  </si>
  <si>
    <t xml:space="preserve">Remocion de Escombros  </t>
  </si>
  <si>
    <t xml:space="preserve">Honorarios de Ingenieros, Arquitectos y Topografos  </t>
  </si>
  <si>
    <t>Tasas:</t>
  </si>
  <si>
    <t>Robo</t>
  </si>
  <si>
    <t>Asistencia Hogar</t>
  </si>
  <si>
    <t>CLASIFICACION:</t>
  </si>
  <si>
    <t>Clasificacion:</t>
  </si>
  <si>
    <t>Casa Habitacion</t>
  </si>
  <si>
    <t>Condominio de Apartamentos</t>
  </si>
  <si>
    <t>CONDICIONES A REFLEJARSE EN IMPRESIÓN FINAL:</t>
  </si>
  <si>
    <t>DEDUCIBLES:</t>
  </si>
  <si>
    <t>.</t>
  </si>
  <si>
    <t>calculo de derecho de póliza</t>
  </si>
  <si>
    <t>tipos de crédito</t>
  </si>
  <si>
    <t>Cuotas</t>
  </si>
  <si>
    <t>PRIMA TOTAL</t>
  </si>
  <si>
    <t>COSTOS:</t>
  </si>
  <si>
    <t>SUBLIMITES INCLUIDOS EN LA SUMA ASEGURADA:</t>
  </si>
  <si>
    <t>CUADRO DE TASAS</t>
  </si>
  <si>
    <t>Incendio y sublimites</t>
  </si>
  <si>
    <t>Responsabilidad Civil:</t>
  </si>
  <si>
    <t>Robo y/o Asalto a Primer Riesgo ( Contenido):</t>
  </si>
  <si>
    <t>Responsabilidad Civil</t>
  </si>
  <si>
    <t>Control coberturas</t>
  </si>
  <si>
    <t>Rc</t>
  </si>
  <si>
    <t>Gastos de Sepelio</t>
  </si>
  <si>
    <t>Gastos de Ambulancia</t>
  </si>
  <si>
    <t>COBERTURAS ADICIONALES:</t>
  </si>
  <si>
    <t>Remocion de Escombros ( Por Evento y en Agregado)</t>
  </si>
  <si>
    <t>Honorarios de Ingenieros, Arquitectos y Topografos (Por Evento y en Agregado)</t>
  </si>
  <si>
    <t>Rotura de Vidrios (Por Evento y en Agregado)</t>
  </si>
  <si>
    <t>AMPAROS ADICIONALES</t>
  </si>
  <si>
    <t>Cancelación de Póliza (30 días)</t>
  </si>
  <si>
    <t>Plazo para reportar siniestros (7 días)</t>
  </si>
  <si>
    <t>Destrucción Preventiva</t>
  </si>
  <si>
    <t>Autoridad Civil</t>
  </si>
  <si>
    <t>EXCLUSIONES:</t>
  </si>
  <si>
    <t>Bienes Excluidos:</t>
  </si>
  <si>
    <t>Terreno y cimientos.</t>
  </si>
  <si>
    <t>Títulos y/o valores</t>
  </si>
  <si>
    <t>Dinero, joyas, pieles</t>
  </si>
  <si>
    <t>Vehículos</t>
  </si>
  <si>
    <t>Obras de Arte</t>
  </si>
  <si>
    <t>Fenómenos de la Naturaleza y demás Eventos Catastróficos:</t>
  </si>
  <si>
    <t>Otros eventos Daños Materiales:</t>
  </si>
  <si>
    <t>COTIZACIÓN INCENDIO CASA HABITACION</t>
  </si>
  <si>
    <t>FORMAS DE PAGO:</t>
  </si>
  <si>
    <t/>
  </si>
  <si>
    <t>rango robo</t>
  </si>
  <si>
    <t>Rango RC</t>
  </si>
  <si>
    <t>rango SA</t>
  </si>
  <si>
    <t>descuento</t>
  </si>
  <si>
    <t>TIPO DE DOCUMENTO:</t>
  </si>
  <si>
    <t>Poliza Nueva</t>
  </si>
  <si>
    <t>Gastos de Arriendo en caso de no accesibilidad a la vivienda (500 mensuales, hasta 3 meses)</t>
  </si>
  <si>
    <t>INTERES</t>
  </si>
  <si>
    <t>CUOTA MINIMA</t>
  </si>
  <si>
    <t>cuota</t>
  </si>
  <si>
    <t>total</t>
  </si>
  <si>
    <t>diferencia</t>
  </si>
  <si>
    <t>cuota inicial</t>
  </si>
  <si>
    <t>ncuotas</t>
  </si>
  <si>
    <t>ADJUNTOS A IMPRIMIR</t>
  </si>
  <si>
    <t>Anexo Asitencia Hogar</t>
  </si>
  <si>
    <t>ACCIDENTES PERSONALES (Miembros de la Familia):</t>
  </si>
  <si>
    <t>accidentes</t>
  </si>
  <si>
    <t>Pago de Prima (15 días)</t>
  </si>
  <si>
    <t>Muerte Accidental e Invalidez hasta $ 5.000 C/U</t>
  </si>
  <si>
    <t>Equipo Electrónico:</t>
  </si>
  <si>
    <t>Rango EE</t>
  </si>
  <si>
    <t>Pago de Accidentes</t>
  </si>
  <si>
    <t>Diferido con Tarjeta de Credito</t>
  </si>
  <si>
    <t xml:space="preserve">Restitución Automatica de la Suma Asegurada </t>
  </si>
  <si>
    <t>Prima Minima</t>
  </si>
  <si>
    <t>SUMA ASEGURADA TOTAL INCENDIO:</t>
  </si>
  <si>
    <t>Rotura de Maquinaria</t>
  </si>
  <si>
    <t>Equipo Electrónico (Incluye Robo):</t>
  </si>
  <si>
    <t>Gastos Medicos hasta $ 1.000 C/U</t>
  </si>
  <si>
    <r>
      <rPr>
        <b/>
        <i/>
        <sz val="11"/>
        <color theme="1"/>
        <rFont val="Calibri"/>
        <family val="2"/>
        <scheme val="minor"/>
      </rPr>
      <t xml:space="preserve">Notas: </t>
    </r>
    <r>
      <rPr>
        <i/>
        <sz val="11"/>
        <color theme="1"/>
        <rFont val="Calibri"/>
        <family val="2"/>
        <scheme val="minor"/>
      </rPr>
      <t>La presente cotizacion tendra validez por 30 dias y sus Condiciones estan sujetas a la inspeccion del predio.</t>
    </r>
  </si>
  <si>
    <t>10% del valor del siniestro, minimo USD 250.00</t>
  </si>
  <si>
    <t>Maremoto</t>
  </si>
  <si>
    <t>SI</t>
  </si>
  <si>
    <t>NO</t>
  </si>
  <si>
    <t>DESEA COBERTURA DE MAREMOTO?</t>
  </si>
  <si>
    <t xml:space="preserve">             En caso de Siniestro el Asegurado deberá contar con los documentos que demuestren la preexistencia de los </t>
  </si>
  <si>
    <t xml:space="preserve">             bienes asegurados, caso contrario proporcionará un listado detallado y valorizado de los bienes que superen </t>
  </si>
  <si>
    <t xml:space="preserve">             individualmente los USD 500.00, previo a la emision de la Poliza.</t>
  </si>
  <si>
    <t>Civil, Huelga, Motín, Alborotos Populares, Explosión, Cobertura Extendida, Explosion, Daños por Agua, Colapso,</t>
  </si>
  <si>
    <t>Casa - Habitacion</t>
  </si>
  <si>
    <t>Iva 14%</t>
  </si>
  <si>
    <r>
      <t xml:space="preserve">Incendio: </t>
    </r>
    <r>
      <rPr>
        <sz val="11"/>
        <color theme="1"/>
        <rFont val="Calibri"/>
        <family val="2"/>
        <scheme val="minor"/>
      </rPr>
      <t>Incendio, Caida de Rayo, Terremoto, Temblor, Lluvia e Inundación, Erupción Volcánica, Conmoción</t>
    </r>
  </si>
  <si>
    <t>2% de la suma total asegurada, no menor a USD 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</si>
</sst>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[$USD]\ * #,##0_);_([$USD]\ * \(#,##0\);_([$USD]\ 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u/>
      <sz val="10"/>
      <color theme="0"/>
      <name val="Calibri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5" fillId="3" borderId="4" xfId="0" applyFont="1" applyFill="1" applyBorder="1"/>
    <xf numFmtId="0" fontId="2" fillId="3" borderId="4" xfId="0" applyFont="1" applyFill="1" applyBorder="1"/>
    <xf numFmtId="0" fontId="0" fillId="2" borderId="0" xfId="0" applyFill="1"/>
    <xf numFmtId="0" fontId="0" fillId="2" borderId="0" xfId="0" applyFill="1" applyBorder="1"/>
    <xf numFmtId="0" fontId="6" fillId="2" borderId="4" xfId="0" applyFont="1" applyFill="1" applyBorder="1" applyAlignment="1">
      <alignment horizontal="left" indent="1"/>
    </xf>
    <xf numFmtId="0" fontId="7" fillId="2" borderId="0" xfId="0" applyFont="1" applyFill="1" applyBorder="1"/>
    <xf numFmtId="0" fontId="0" fillId="2" borderId="4" xfId="0" applyFill="1" applyBorder="1" applyAlignment="1">
      <alignment horizontal="left" indent="1"/>
    </xf>
    <xf numFmtId="43" fontId="0" fillId="2" borderId="0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indent="1"/>
    </xf>
    <xf numFmtId="0" fontId="0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0" xfId="0" applyFont="1" applyFill="1" applyBorder="1" applyAlignment="1">
      <alignment horizontal="center"/>
    </xf>
    <xf numFmtId="43" fontId="0" fillId="2" borderId="0" xfId="0" applyNumberFormat="1" applyFill="1" applyBorder="1"/>
    <xf numFmtId="0" fontId="0" fillId="2" borderId="8" xfId="0" applyFill="1" applyBorder="1"/>
    <xf numFmtId="43" fontId="0" fillId="2" borderId="0" xfId="1" applyFont="1" applyFill="1" applyBorder="1"/>
    <xf numFmtId="43" fontId="1" fillId="2" borderId="0" xfId="1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Border="1" applyAlignment="1"/>
    <xf numFmtId="0" fontId="2" fillId="2" borderId="4" xfId="0" applyFont="1" applyFill="1" applyBorder="1" applyAlignment="1"/>
    <xf numFmtId="0" fontId="0" fillId="2" borderId="7" xfId="0" applyFill="1" applyBorder="1"/>
    <xf numFmtId="0" fontId="0" fillId="2" borderId="0" xfId="0" applyFont="1" applyFill="1"/>
    <xf numFmtId="0" fontId="3" fillId="2" borderId="0" xfId="0" applyFont="1" applyFill="1" applyBorder="1"/>
    <xf numFmtId="0" fontId="3" fillId="2" borderId="4" xfId="0" applyFont="1" applyFill="1" applyBorder="1" applyAlignment="1">
      <alignment horizontal="center"/>
    </xf>
    <xf numFmtId="0" fontId="0" fillId="0" borderId="0" xfId="0" applyBorder="1"/>
    <xf numFmtId="43" fontId="10" fillId="2" borderId="0" xfId="1" applyFont="1" applyFill="1" applyBorder="1" applyAlignment="1">
      <alignment horizontal="right"/>
    </xf>
    <xf numFmtId="43" fontId="10" fillId="2" borderId="7" xfId="1" applyFont="1" applyFill="1" applyBorder="1" applyAlignment="1">
      <alignment horizontal="right"/>
    </xf>
    <xf numFmtId="0" fontId="8" fillId="2" borderId="0" xfId="0" applyFont="1" applyFill="1"/>
    <xf numFmtId="0" fontId="7" fillId="2" borderId="0" xfId="0" applyFont="1" applyFill="1"/>
    <xf numFmtId="0" fontId="5" fillId="0" borderId="4" xfId="0" applyFont="1" applyFill="1" applyBorder="1"/>
    <xf numFmtId="0" fontId="0" fillId="2" borderId="4" xfId="0" applyFill="1" applyBorder="1" applyAlignment="1">
      <alignment horizontal="left" indent="2"/>
    </xf>
    <xf numFmtId="0" fontId="0" fillId="0" borderId="0" xfId="0" applyFill="1" applyBorder="1"/>
    <xf numFmtId="0" fontId="3" fillId="2" borderId="4" xfId="0" applyFont="1" applyFill="1" applyBorder="1"/>
    <xf numFmtId="0" fontId="0" fillId="2" borderId="4" xfId="0" applyFont="1" applyFill="1" applyBorder="1" applyAlignment="1">
      <alignment horizontal="justify" vertical="center"/>
    </xf>
    <xf numFmtId="22" fontId="0" fillId="2" borderId="5" xfId="0" applyNumberFormat="1" applyFill="1" applyBorder="1" applyAlignment="1">
      <alignment horizontal="right"/>
    </xf>
    <xf numFmtId="22" fontId="0" fillId="2" borderId="3" xfId="0" applyNumberFormat="1" applyFill="1" applyBorder="1" applyAlignment="1">
      <alignment horizontal="right"/>
    </xf>
    <xf numFmtId="43" fontId="0" fillId="2" borderId="0" xfId="1" applyFont="1" applyFill="1" applyBorder="1" applyAlignment="1">
      <alignment horizontal="right"/>
    </xf>
    <xf numFmtId="43" fontId="0" fillId="2" borderId="5" xfId="1" applyFont="1" applyFill="1" applyBorder="1" applyAlignment="1"/>
    <xf numFmtId="0" fontId="0" fillId="2" borderId="5" xfId="0" applyFill="1" applyBorder="1" applyAlignment="1"/>
    <xf numFmtId="0" fontId="2" fillId="3" borderId="4" xfId="0" applyFont="1" applyFill="1" applyBorder="1" applyAlignment="1"/>
    <xf numFmtId="0" fontId="2" fillId="2" borderId="5" xfId="0" applyFont="1" applyFill="1" applyBorder="1" applyAlignment="1"/>
    <xf numFmtId="43" fontId="0" fillId="2" borderId="5" xfId="1" applyFont="1" applyFill="1" applyBorder="1"/>
    <xf numFmtId="9" fontId="0" fillId="2" borderId="5" xfId="2" applyFont="1" applyFill="1" applyBorder="1" applyAlignment="1">
      <alignment horizontal="center"/>
    </xf>
    <xf numFmtId="43" fontId="8" fillId="2" borderId="5" xfId="1" applyFont="1" applyFill="1" applyBorder="1"/>
    <xf numFmtId="0" fontId="7" fillId="2" borderId="5" xfId="0" applyFont="1" applyFill="1" applyBorder="1"/>
    <xf numFmtId="0" fontId="7" fillId="0" borderId="5" xfId="0" applyFont="1" applyBorder="1"/>
    <xf numFmtId="0" fontId="1" fillId="0" borderId="5" xfId="0" applyFont="1" applyFill="1" applyBorder="1"/>
    <xf numFmtId="2" fontId="10" fillId="2" borderId="5" xfId="0" quotePrefix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5" fontId="1" fillId="2" borderId="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8" fillId="0" borderId="5" xfId="0" applyFont="1" applyBorder="1"/>
    <xf numFmtId="0" fontId="0" fillId="2" borderId="5" xfId="0" applyNumberFormat="1" applyFill="1" applyBorder="1" applyAlignment="1"/>
    <xf numFmtId="43" fontId="9" fillId="2" borderId="5" xfId="1" applyFont="1" applyFill="1" applyBorder="1"/>
    <xf numFmtId="0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/>
    <xf numFmtId="43" fontId="3" fillId="2" borderId="5" xfId="0" applyNumberFormat="1" applyFont="1" applyFill="1" applyBorder="1" applyAlignment="1">
      <alignment horizontal="right" indent="1"/>
    </xf>
    <xf numFmtId="43" fontId="0" fillId="2" borderId="5" xfId="0" applyNumberFormat="1" applyFill="1" applyBorder="1" applyAlignment="1">
      <alignment horizontal="right" indent="1"/>
    </xf>
    <xf numFmtId="43" fontId="0" fillId="2" borderId="5" xfId="1" applyFont="1" applyFill="1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5" xfId="0" applyFill="1" applyBorder="1"/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 applyFill="1" applyBorder="1" applyAlignment="1">
      <alignment horizontal="center"/>
    </xf>
    <xf numFmtId="43" fontId="7" fillId="2" borderId="0" xfId="0" applyNumberFormat="1" applyFont="1" applyFill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165" fontId="7" fillId="2" borderId="0" xfId="0" applyNumberFormat="1" applyFont="1" applyFill="1"/>
    <xf numFmtId="0" fontId="15" fillId="2" borderId="0" xfId="0" applyFont="1" applyFill="1"/>
    <xf numFmtId="43" fontId="3" fillId="2" borderId="5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indent="2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10" fontId="22" fillId="2" borderId="0" xfId="0" applyNumberFormat="1" applyFont="1" applyFill="1" applyBorder="1"/>
    <xf numFmtId="43" fontId="20" fillId="2" borderId="0" xfId="0" applyNumberFormat="1" applyFont="1" applyFill="1"/>
    <xf numFmtId="0" fontId="22" fillId="2" borderId="0" xfId="0" applyNumberFormat="1" applyFont="1" applyFill="1" applyBorder="1"/>
    <xf numFmtId="0" fontId="22" fillId="2" borderId="0" xfId="1" applyNumberFormat="1" applyFont="1" applyFill="1"/>
    <xf numFmtId="0" fontId="21" fillId="2" borderId="0" xfId="0" applyFont="1" applyFill="1" applyAlignment="1">
      <alignment horizontal="center"/>
    </xf>
    <xf numFmtId="0" fontId="20" fillId="2" borderId="0" xfId="1" applyNumberFormat="1" applyFont="1" applyFill="1"/>
    <xf numFmtId="165" fontId="20" fillId="2" borderId="0" xfId="0" applyNumberFormat="1" applyFont="1" applyFill="1"/>
    <xf numFmtId="0" fontId="20" fillId="2" borderId="0" xfId="0" applyNumberFormat="1" applyFont="1" applyFill="1"/>
    <xf numFmtId="14" fontId="20" fillId="2" borderId="0" xfId="0" applyNumberFormat="1" applyFont="1" applyFill="1"/>
    <xf numFmtId="0" fontId="23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0" fillId="2" borderId="0" xfId="0" applyNumberFormat="1" applyFont="1" applyFill="1" applyAlignment="1">
      <alignment horizontal="center"/>
    </xf>
    <xf numFmtId="43" fontId="20" fillId="2" borderId="0" xfId="1" applyFont="1" applyFill="1"/>
    <xf numFmtId="0" fontId="8" fillId="0" borderId="0" xfId="0" applyFont="1" applyFill="1" applyBorder="1"/>
    <xf numFmtId="165" fontId="20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6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" fontId="20" fillId="2" borderId="0" xfId="0" applyNumberFormat="1" applyFont="1" applyFill="1"/>
    <xf numFmtId="2" fontId="25" fillId="0" borderId="0" xfId="0" quotePrefix="1" applyNumberFormat="1" applyFont="1" applyFill="1" applyBorder="1" applyAlignment="1"/>
    <xf numFmtId="4" fontId="27" fillId="0" borderId="0" xfId="0" applyNumberFormat="1" applyFont="1" applyFill="1" applyBorder="1" applyAlignment="1"/>
    <xf numFmtId="43" fontId="28" fillId="0" borderId="0" xfId="1" applyFont="1" applyFill="1" applyBorder="1" applyAlignment="1">
      <alignment horizontal="right"/>
    </xf>
    <xf numFmtId="4" fontId="29" fillId="0" borderId="0" xfId="0" applyNumberFormat="1" applyFont="1" applyFill="1" applyBorder="1" applyAlignment="1"/>
    <xf numFmtId="4" fontId="20" fillId="2" borderId="0" xfId="0" applyNumberFormat="1" applyFont="1" applyFill="1"/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2" fontId="20" fillId="2" borderId="0" xfId="0" applyNumberFormat="1" applyFont="1" applyFill="1"/>
    <xf numFmtId="43" fontId="25" fillId="0" borderId="0" xfId="1" applyFont="1" applyFill="1" applyBorder="1" applyAlignment="1">
      <alignment horizontal="right"/>
    </xf>
    <xf numFmtId="9" fontId="20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0" fillId="2" borderId="0" xfId="0" applyFont="1" applyFill="1" applyAlignment="1"/>
    <xf numFmtId="164" fontId="24" fillId="2" borderId="0" xfId="2" applyNumberFormat="1" applyFont="1" applyFill="1" applyBorder="1"/>
    <xf numFmtId="0" fontId="20" fillId="2" borderId="0" xfId="0" quotePrefix="1" applyFont="1" applyFill="1"/>
    <xf numFmtId="0" fontId="8" fillId="2" borderId="0" xfId="0" applyFont="1" applyFill="1" applyBorder="1"/>
    <xf numFmtId="0" fontId="32" fillId="2" borderId="0" xfId="0" applyFont="1" applyFill="1" applyBorder="1"/>
    <xf numFmtId="43" fontId="8" fillId="2" borderId="0" xfId="0" applyNumberFormat="1" applyFont="1" applyFill="1"/>
    <xf numFmtId="37" fontId="32" fillId="2" borderId="0" xfId="1" applyNumberFormat="1" applyFont="1" applyFill="1" applyBorder="1"/>
    <xf numFmtId="0" fontId="29" fillId="2" borderId="0" xfId="0" applyFont="1" applyFill="1"/>
    <xf numFmtId="0" fontId="31" fillId="2" borderId="0" xfId="0" applyFont="1" applyFill="1" applyBorder="1" applyAlignment="1"/>
    <xf numFmtId="0" fontId="32" fillId="2" borderId="0" xfId="0" applyFont="1" applyFill="1" applyBorder="1" applyAlignment="1">
      <alignment horizontal="center"/>
    </xf>
    <xf numFmtId="0" fontId="32" fillId="2" borderId="0" xfId="0" applyFont="1" applyFill="1"/>
    <xf numFmtId="0" fontId="32" fillId="2" borderId="0" xfId="0" applyFont="1" applyFill="1" applyBorder="1" applyAlignment="1">
      <alignment horizontal="right"/>
    </xf>
    <xf numFmtId="4" fontId="32" fillId="2" borderId="0" xfId="0" applyNumberFormat="1" applyFont="1" applyFill="1" applyBorder="1"/>
    <xf numFmtId="166" fontId="0" fillId="2" borderId="5" xfId="1" applyNumberFormat="1" applyFont="1" applyFill="1" applyBorder="1" applyAlignment="1">
      <alignment horizontal="center"/>
    </xf>
    <xf numFmtId="166" fontId="0" fillId="2" borderId="5" xfId="4" applyNumberFormat="1" applyFont="1" applyFill="1" applyBorder="1" applyAlignment="1">
      <alignment horizontal="center"/>
    </xf>
    <xf numFmtId="166" fontId="0" fillId="2" borderId="5" xfId="4" applyNumberFormat="1" applyFont="1" applyFill="1" applyBorder="1" applyAlignment="1">
      <alignment horizontal="right"/>
    </xf>
    <xf numFmtId="166" fontId="0" fillId="2" borderId="5" xfId="4" applyNumberFormat="1" applyFont="1" applyFill="1" applyBorder="1" applyAlignment="1"/>
    <xf numFmtId="0" fontId="18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/>
    </xf>
    <xf numFmtId="0" fontId="18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1" fillId="2" borderId="10" xfId="3" applyFill="1" applyBorder="1" applyAlignment="1">
      <alignment horizontal="center"/>
    </xf>
    <xf numFmtId="0" fontId="11" fillId="2" borderId="9" xfId="3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9" fillId="2" borderId="0" xfId="0" applyFont="1" applyFill="1" applyAlignment="1">
      <alignment horizont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Moneda" xfId="4" builtinId="4"/>
    <cellStyle name="Normal" xfId="0" builtinId="0"/>
    <cellStyle name="Porcentaje" xfId="2" builtinId="5"/>
  </cellStyles>
  <dxfs count="4">
    <dxf>
      <font>
        <color rgb="FFFF0000"/>
      </font>
      <fill>
        <patternFill patternType="lightTrellis">
          <fgColor theme="4" tint="0.79998168889431442"/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91525</xdr:rowOff>
    </xdr:from>
    <xdr:to>
      <xdr:col>1</xdr:col>
      <xdr:colOff>1028700</xdr:colOff>
      <xdr:row>5</xdr:row>
      <xdr:rowOff>78889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91550"/>
          <a:ext cx="962025" cy="749364"/>
        </a:xfrm>
        <a:prstGeom prst="rect">
          <a:avLst/>
        </a:prstGeom>
      </xdr:spPr>
    </xdr:pic>
    <xdr:clientData/>
  </xdr:twoCellAnchor>
  <xdr:twoCellAnchor editAs="oneCell">
    <xdr:from>
      <xdr:col>1</xdr:col>
      <xdr:colOff>135467</xdr:colOff>
      <xdr:row>60</xdr:row>
      <xdr:rowOff>46038</xdr:rowOff>
    </xdr:from>
    <xdr:to>
      <xdr:col>1</xdr:col>
      <xdr:colOff>1154642</xdr:colOff>
      <xdr:row>64</xdr:row>
      <xdr:rowOff>19652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884" y="11444288"/>
          <a:ext cx="1019175" cy="735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Asistencia%20Hogar%20-%20GENERAL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G127"/>
  <sheetViews>
    <sheetView showGridLines="0" tabSelected="1" zoomScale="90" zoomScaleNormal="90" zoomScaleSheetLayoutView="80" workbookViewId="0">
      <selection activeCell="C9" sqref="C9:D9"/>
    </sheetView>
  </sheetViews>
  <sheetFormatPr baseColWidth="10" defaultRowHeight="15" x14ac:dyDescent="0.25"/>
  <cols>
    <col min="1" max="1" width="3.5703125" style="3" customWidth="1"/>
    <col min="2" max="2" width="50" customWidth="1"/>
    <col min="3" max="3" width="27.5703125" customWidth="1"/>
    <col min="4" max="4" width="22" customWidth="1"/>
    <col min="5" max="5" width="9.42578125" style="24" customWidth="1"/>
    <col min="6" max="6" width="33.42578125" style="24" bestFit="1" customWidth="1"/>
    <col min="7" max="7" width="7.140625" style="24" customWidth="1"/>
    <col min="8" max="8" width="20" style="30" bestFit="1" customWidth="1"/>
    <col min="9" max="9" width="20.42578125" style="90" customWidth="1"/>
    <col min="10" max="10" width="17.85546875" style="90" bestFit="1" customWidth="1"/>
    <col min="11" max="11" width="19.28515625" style="90" bestFit="1" customWidth="1"/>
    <col min="12" max="15" width="11.42578125" style="90"/>
    <col min="16" max="16" width="15.5703125" style="90" customWidth="1"/>
    <col min="17" max="18" width="11.42578125" style="90"/>
    <col min="19" max="19" width="17.85546875" style="90" bestFit="1" customWidth="1"/>
    <col min="20" max="30" width="11.42578125" style="90"/>
    <col min="31" max="32" width="11.42578125" style="30"/>
    <col min="33" max="38" width="11.42578125" style="24"/>
    <col min="39" max="59" width="11.42578125" style="30"/>
  </cols>
  <sheetData>
    <row r="1" spans="2:59" s="3" customFormat="1" ht="15.75" thickBot="1" x14ac:dyDescent="0.3">
      <c r="E1" s="24"/>
      <c r="F1" s="24"/>
      <c r="G1" s="24"/>
      <c r="H1" s="30"/>
      <c r="I1" s="90"/>
      <c r="J1" s="90"/>
      <c r="K1" s="90"/>
      <c r="L1" s="90"/>
      <c r="M1" s="90"/>
      <c r="N1" s="91" t="s">
        <v>30</v>
      </c>
      <c r="O1" s="90"/>
      <c r="P1" s="90"/>
      <c r="Q1" s="92" t="s">
        <v>1</v>
      </c>
      <c r="R1" s="90"/>
      <c r="S1" s="90"/>
      <c r="T1" s="91" t="s">
        <v>22</v>
      </c>
      <c r="U1" s="90"/>
      <c r="V1" s="90"/>
      <c r="W1" s="90"/>
      <c r="X1" s="91" t="s">
        <v>16</v>
      </c>
      <c r="Y1" s="90"/>
      <c r="Z1" s="90"/>
      <c r="AA1" s="90"/>
      <c r="AB1" s="90"/>
      <c r="AC1" s="90"/>
      <c r="AD1" s="90"/>
      <c r="AE1" s="30"/>
      <c r="AF1" s="30"/>
      <c r="AG1" s="24"/>
      <c r="AH1" s="24"/>
      <c r="AI1" s="24"/>
      <c r="AJ1" s="24"/>
      <c r="AK1" s="24"/>
      <c r="AL1" s="24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</row>
    <row r="2" spans="2:59" x14ac:dyDescent="0.25">
      <c r="B2" s="19"/>
      <c r="C2" s="20"/>
      <c r="D2" s="38">
        <f ca="1">NOW()</f>
        <v>42552.516470023147</v>
      </c>
      <c r="F2" s="148" t="s">
        <v>46</v>
      </c>
      <c r="G2" s="148"/>
      <c r="K2" s="90" t="s">
        <v>51</v>
      </c>
      <c r="N2" s="93" t="s">
        <v>47</v>
      </c>
      <c r="O2" s="94">
        <f>IF(M7=0,0.16%,0.2%)</f>
        <v>1.6000000000000001E-3</v>
      </c>
      <c r="Q2" s="90" t="s">
        <v>2</v>
      </c>
      <c r="T2" s="90" t="s">
        <v>28</v>
      </c>
      <c r="X2" s="90" t="s">
        <v>17</v>
      </c>
    </row>
    <row r="3" spans="2:59" x14ac:dyDescent="0.25">
      <c r="B3" s="12"/>
      <c r="C3" s="4" t="s">
        <v>0</v>
      </c>
      <c r="D3" s="13"/>
      <c r="J3" s="90" t="s">
        <v>31</v>
      </c>
      <c r="K3" s="95">
        <f>C23*25%</f>
        <v>7500</v>
      </c>
      <c r="N3" s="93" t="s">
        <v>31</v>
      </c>
      <c r="O3" s="94">
        <v>7.0000000000000001E-3</v>
      </c>
      <c r="Q3" s="90" t="s">
        <v>4</v>
      </c>
      <c r="T3" s="90" t="s">
        <v>29</v>
      </c>
      <c r="X3" s="90" t="s">
        <v>18</v>
      </c>
    </row>
    <row r="4" spans="2:59" x14ac:dyDescent="0.25">
      <c r="B4" s="12"/>
      <c r="C4" s="4"/>
      <c r="D4" s="13"/>
      <c r="J4" s="90" t="s">
        <v>52</v>
      </c>
      <c r="K4" s="95">
        <f>IF((C22+C23)&gt;K22,K21,(C22+C23)*50%)</f>
        <v>56500</v>
      </c>
      <c r="N4" s="96" t="s">
        <v>50</v>
      </c>
      <c r="O4" s="94">
        <v>7.0000000000000001E-3</v>
      </c>
      <c r="T4" s="90" t="s">
        <v>23</v>
      </c>
      <c r="X4" s="90" t="s">
        <v>21</v>
      </c>
    </row>
    <row r="5" spans="2:59" x14ac:dyDescent="0.25">
      <c r="B5" s="12"/>
      <c r="C5" s="4"/>
      <c r="D5" s="13"/>
      <c r="N5" s="96" t="s">
        <v>21</v>
      </c>
      <c r="O5" s="94">
        <v>8.0000000000000002E-3</v>
      </c>
      <c r="Q5" s="92" t="s">
        <v>34</v>
      </c>
      <c r="T5" s="90" t="s">
        <v>24</v>
      </c>
      <c r="X5" s="90" t="s">
        <v>19</v>
      </c>
    </row>
    <row r="6" spans="2:59" x14ac:dyDescent="0.25">
      <c r="B6" s="12"/>
      <c r="C6" s="4"/>
      <c r="D6" s="13"/>
      <c r="M6" s="92" t="s">
        <v>108</v>
      </c>
      <c r="N6" s="90" t="s">
        <v>110</v>
      </c>
      <c r="O6" s="97">
        <v>0</v>
      </c>
      <c r="Q6" s="90" t="s">
        <v>35</v>
      </c>
      <c r="T6" s="90" t="s">
        <v>25</v>
      </c>
      <c r="X6" s="90" t="s">
        <v>20</v>
      </c>
    </row>
    <row r="7" spans="2:59" ht="15.75" thickBot="1" x14ac:dyDescent="0.3">
      <c r="B7" s="159" t="s">
        <v>73</v>
      </c>
      <c r="C7" s="160"/>
      <c r="D7" s="161"/>
      <c r="G7" s="3"/>
      <c r="M7" s="98">
        <f>VLOOKUP(G11,N6:O7,2)</f>
        <v>0</v>
      </c>
      <c r="N7" s="90" t="s">
        <v>109</v>
      </c>
      <c r="O7" s="97">
        <v>1</v>
      </c>
      <c r="Q7" s="90" t="s">
        <v>36</v>
      </c>
      <c r="T7" s="90" t="s">
        <v>26</v>
      </c>
    </row>
    <row r="8" spans="2:59" ht="15.75" thickBot="1" x14ac:dyDescent="0.3">
      <c r="B8" s="159"/>
      <c r="C8" s="160"/>
      <c r="D8" s="161"/>
      <c r="F8" s="151" t="s">
        <v>90</v>
      </c>
      <c r="G8" s="152"/>
      <c r="T8" s="90" t="s">
        <v>27</v>
      </c>
    </row>
    <row r="9" spans="2:59" ht="15.75" thickBot="1" x14ac:dyDescent="0.3">
      <c r="B9" s="9" t="s">
        <v>3</v>
      </c>
      <c r="C9" s="149"/>
      <c r="D9" s="150"/>
      <c r="F9" s="153" t="s">
        <v>91</v>
      </c>
      <c r="G9" s="154"/>
    </row>
    <row r="10" spans="2:59" ht="15.75" thickBot="1" x14ac:dyDescent="0.3">
      <c r="B10" s="9" t="s">
        <v>5</v>
      </c>
      <c r="C10" s="149"/>
      <c r="D10" s="150"/>
      <c r="G10" s="3"/>
    </row>
    <row r="11" spans="2:59" ht="15.75" thickBot="1" x14ac:dyDescent="0.3">
      <c r="B11" s="9" t="s">
        <v>6</v>
      </c>
      <c r="C11" s="149"/>
      <c r="D11" s="150"/>
      <c r="F11" s="87" t="s">
        <v>111</v>
      </c>
      <c r="G11" s="88" t="s">
        <v>110</v>
      </c>
      <c r="K11" s="90" t="s">
        <v>97</v>
      </c>
    </row>
    <row r="12" spans="2:59" x14ac:dyDescent="0.25">
      <c r="B12" s="9" t="s">
        <v>33</v>
      </c>
      <c r="C12" s="149" t="s">
        <v>116</v>
      </c>
      <c r="D12" s="150"/>
      <c r="E12" s="31"/>
      <c r="F12" s="31"/>
      <c r="G12" s="31"/>
      <c r="K12" s="90">
        <v>0</v>
      </c>
      <c r="O12" s="99"/>
    </row>
    <row r="13" spans="2:59" x14ac:dyDescent="0.25">
      <c r="B13" s="9" t="s">
        <v>80</v>
      </c>
      <c r="C13" s="149" t="s">
        <v>81</v>
      </c>
      <c r="D13" s="150"/>
      <c r="E13" s="31"/>
      <c r="F13" s="31"/>
      <c r="G13" s="31"/>
      <c r="J13" s="100">
        <f>C24</f>
        <v>3000</v>
      </c>
      <c r="K13" s="90">
        <f>IF(C24&gt;L13,K12,C23*10%)</f>
        <v>3000</v>
      </c>
      <c r="L13" s="95">
        <f>C23*10%</f>
        <v>3000</v>
      </c>
      <c r="O13" s="101"/>
      <c r="R13" s="102"/>
    </row>
    <row r="14" spans="2:59" x14ac:dyDescent="0.25">
      <c r="B14" s="12"/>
      <c r="C14" s="4"/>
      <c r="D14" s="13"/>
      <c r="E14" s="31"/>
      <c r="F14" s="78"/>
      <c r="G14" s="31"/>
      <c r="R14" s="102"/>
    </row>
    <row r="15" spans="2:59" ht="15.75" x14ac:dyDescent="0.25">
      <c r="B15" s="1" t="s">
        <v>7</v>
      </c>
      <c r="C15" s="4"/>
      <c r="D15" s="13"/>
      <c r="E15" s="31"/>
      <c r="F15" s="75"/>
      <c r="G15" s="75"/>
      <c r="H15" s="103"/>
      <c r="I15" s="104">
        <f>C22</f>
        <v>80000</v>
      </c>
      <c r="K15" s="90" t="s">
        <v>76</v>
      </c>
      <c r="L15" s="90" t="s">
        <v>78</v>
      </c>
      <c r="P15" s="105"/>
      <c r="R15" s="106"/>
    </row>
    <row r="16" spans="2:59" x14ac:dyDescent="0.25">
      <c r="B16" s="165"/>
      <c r="C16" s="166"/>
      <c r="D16" s="167"/>
      <c r="E16" s="31"/>
      <c r="F16" s="76"/>
      <c r="G16" s="76"/>
      <c r="H16" s="107"/>
      <c r="I16" s="108">
        <f>C23</f>
        <v>30000</v>
      </c>
      <c r="K16" s="90">
        <v>0</v>
      </c>
      <c r="L16" s="90">
        <v>1</v>
      </c>
      <c r="P16" s="101"/>
    </row>
    <row r="17" spans="2:20" ht="15" customHeight="1" x14ac:dyDescent="0.25">
      <c r="B17" s="1" t="s">
        <v>8</v>
      </c>
      <c r="C17" s="55" t="s">
        <v>9</v>
      </c>
      <c r="D17" s="13"/>
      <c r="E17" s="31"/>
      <c r="F17" s="79"/>
      <c r="G17" s="77"/>
      <c r="H17" s="109"/>
      <c r="I17" s="110"/>
      <c r="J17" s="95">
        <f>C23*30%</f>
        <v>9000</v>
      </c>
      <c r="K17" s="90">
        <f>IF(C23&gt;70000,70000,C23*30%)</f>
        <v>9000</v>
      </c>
      <c r="L17" s="90">
        <v>1000000</v>
      </c>
    </row>
    <row r="18" spans="2:20" ht="15" customHeight="1" x14ac:dyDescent="0.25">
      <c r="B18" s="69" t="s">
        <v>118</v>
      </c>
      <c r="C18" s="67"/>
      <c r="D18" s="13"/>
      <c r="E18" s="31"/>
      <c r="F18" s="76"/>
      <c r="G18" s="80"/>
      <c r="H18" s="111"/>
      <c r="I18" s="112"/>
      <c r="P18" s="90" t="s">
        <v>83</v>
      </c>
      <c r="Q18" s="90">
        <v>15</v>
      </c>
    </row>
    <row r="19" spans="2:20" ht="17.25" customHeight="1" x14ac:dyDescent="0.25">
      <c r="B19" s="70" t="s">
        <v>115</v>
      </c>
      <c r="C19" s="67"/>
      <c r="D19" s="13"/>
      <c r="E19" s="31"/>
      <c r="F19" s="76"/>
      <c r="G19" s="81"/>
      <c r="H19" s="113"/>
      <c r="I19" s="112"/>
      <c r="K19" s="90" t="s">
        <v>77</v>
      </c>
      <c r="P19" s="90" t="s">
        <v>84</v>
      </c>
      <c r="Q19" s="90">
        <v>50</v>
      </c>
    </row>
    <row r="20" spans="2:20" ht="15.75" x14ac:dyDescent="0.25">
      <c r="B20" s="70" t="str">
        <f>IF(M7=1,"Incluye Maremoto.","Excluye Maremoto.")</f>
        <v>Excluye Maremoto.</v>
      </c>
      <c r="C20" s="67"/>
      <c r="D20" s="13"/>
      <c r="E20" s="31"/>
      <c r="F20" s="76"/>
      <c r="G20" s="80"/>
      <c r="H20" s="114"/>
      <c r="I20" s="112"/>
      <c r="J20" s="100">
        <f>C22+C23+C24</f>
        <v>113000</v>
      </c>
      <c r="K20" s="90">
        <v>0</v>
      </c>
      <c r="P20" s="90" t="s">
        <v>85</v>
      </c>
      <c r="Q20" s="115" t="e">
        <f>ROUND(D52/C50,2)</f>
        <v>#VALUE!</v>
      </c>
    </row>
    <row r="21" spans="2:20" ht="15.75" customHeight="1" x14ac:dyDescent="0.25">
      <c r="B21" s="70"/>
      <c r="C21" s="86"/>
      <c r="D21" s="13"/>
      <c r="E21" s="31"/>
      <c r="F21" s="80"/>
      <c r="G21" s="82"/>
      <c r="H21" s="116"/>
      <c r="I21" s="117" t="s">
        <v>93</v>
      </c>
      <c r="J21" s="100"/>
      <c r="K21" s="90">
        <f>IF(L21&gt;100000,K22,(C22+C23+C24)*50%)</f>
        <v>56500</v>
      </c>
      <c r="L21" s="100">
        <f>(C22+C23+C24)*50%</f>
        <v>56500</v>
      </c>
      <c r="P21" s="90" t="s">
        <v>86</v>
      </c>
      <c r="Q21" s="115" t="e">
        <f>Q20*I18</f>
        <v>#VALUE!</v>
      </c>
    </row>
    <row r="22" spans="2:20" ht="15.75" customHeight="1" x14ac:dyDescent="0.35">
      <c r="B22" s="89" t="s">
        <v>17</v>
      </c>
      <c r="C22" s="53">
        <v>80000</v>
      </c>
      <c r="D22" s="44"/>
      <c r="E22" s="31"/>
      <c r="F22" s="31"/>
      <c r="G22" s="31"/>
      <c r="H22" s="118"/>
      <c r="I22" s="119">
        <v>5000</v>
      </c>
      <c r="K22" s="90">
        <v>100000</v>
      </c>
      <c r="P22" s="90" t="s">
        <v>87</v>
      </c>
      <c r="Q22" s="120" t="e">
        <f>I19-Q21</f>
        <v>#VALUE!</v>
      </c>
    </row>
    <row r="23" spans="2:20" ht="15.75" customHeight="1" x14ac:dyDescent="0.3">
      <c r="B23" s="89" t="s">
        <v>18</v>
      </c>
      <c r="C23" s="53">
        <v>30000</v>
      </c>
      <c r="D23" s="46"/>
      <c r="E23" s="31"/>
      <c r="F23" s="31"/>
      <c r="G23" s="31"/>
      <c r="H23" s="121"/>
      <c r="I23" s="122">
        <v>1000</v>
      </c>
      <c r="K23" s="90" t="s">
        <v>79</v>
      </c>
      <c r="P23" s="90" t="s">
        <v>88</v>
      </c>
      <c r="Q23" s="123" t="e">
        <f>Q20+Q22</f>
        <v>#VALUE!</v>
      </c>
      <c r="R23" s="90" t="e">
        <f>Q20*(I18-1)</f>
        <v>#VALUE!</v>
      </c>
      <c r="S23" s="120" t="e">
        <f>R23+Q23</f>
        <v>#VALUE!</v>
      </c>
      <c r="T23" s="90" t="s">
        <v>39</v>
      </c>
    </row>
    <row r="24" spans="2:20" ht="15.75" x14ac:dyDescent="0.25">
      <c r="B24" s="89" t="s">
        <v>96</v>
      </c>
      <c r="C24" s="53">
        <v>3000</v>
      </c>
      <c r="D24" s="46"/>
      <c r="E24" s="31"/>
      <c r="F24" s="31"/>
      <c r="G24" s="31"/>
      <c r="H24" s="124"/>
      <c r="I24" s="112">
        <v>500</v>
      </c>
      <c r="K24" s="125">
        <v>0.03</v>
      </c>
      <c r="P24" s="90" t="s">
        <v>89</v>
      </c>
      <c r="Q24" s="90" t="e">
        <f>C50-1</f>
        <v>#VALUE!</v>
      </c>
    </row>
    <row r="25" spans="2:20" ht="15.75" x14ac:dyDescent="0.25">
      <c r="B25" s="56"/>
      <c r="C25" s="8" t="s">
        <v>0</v>
      </c>
      <c r="D25" s="44"/>
      <c r="E25" s="31"/>
      <c r="F25" s="31"/>
      <c r="G25" s="31"/>
      <c r="H25" s="124"/>
      <c r="I25" s="112">
        <v>100</v>
      </c>
      <c r="K25" s="95">
        <f>D47*K24</f>
        <v>26.184899999999999</v>
      </c>
    </row>
    <row r="26" spans="2:20" x14ac:dyDescent="0.25">
      <c r="B26" s="1" t="s">
        <v>102</v>
      </c>
      <c r="C26" s="168">
        <f>IF(C22+C23+C24&gt;500000,"ERROR: SOLO PUEDE COTIZAR HASTA $500.000",C22+C23+C24)</f>
        <v>113000</v>
      </c>
      <c r="D26" s="169"/>
      <c r="E26" s="83"/>
      <c r="F26" s="31"/>
      <c r="G26" s="31"/>
      <c r="K26" s="95">
        <f>ROUND(D47-K25,2)</f>
        <v>846.65</v>
      </c>
    </row>
    <row r="27" spans="2:20" x14ac:dyDescent="0.25">
      <c r="B27" s="32"/>
      <c r="C27" s="18"/>
      <c r="D27" s="46">
        <f>C26*O2</f>
        <v>180.8</v>
      </c>
      <c r="E27" s="31"/>
      <c r="F27" s="31"/>
      <c r="G27" s="31"/>
      <c r="H27" s="126"/>
      <c r="I27" s="127">
        <v>0</v>
      </c>
      <c r="J27" s="127"/>
    </row>
    <row r="28" spans="2:20" ht="15.75" x14ac:dyDescent="0.25">
      <c r="B28" s="42" t="s">
        <v>55</v>
      </c>
      <c r="C28" s="21">
        <v>0.3</v>
      </c>
      <c r="D28" s="46"/>
      <c r="E28" s="31"/>
      <c r="F28" s="31"/>
      <c r="G28" s="31"/>
      <c r="H28" s="128"/>
      <c r="I28" s="129">
        <v>1</v>
      </c>
      <c r="J28" s="90">
        <v>35</v>
      </c>
    </row>
    <row r="29" spans="2:20" x14ac:dyDescent="0.25">
      <c r="B29" s="9" t="s">
        <v>49</v>
      </c>
      <c r="C29" s="54">
        <v>9000</v>
      </c>
      <c r="D29" s="46">
        <f>C29*O3</f>
        <v>63</v>
      </c>
      <c r="E29" s="31"/>
      <c r="F29" s="31"/>
      <c r="G29" s="31"/>
      <c r="H29" s="130" t="s">
        <v>98</v>
      </c>
      <c r="I29" s="90">
        <v>2</v>
      </c>
      <c r="J29" s="90">
        <f>2*35*95%</f>
        <v>66.5</v>
      </c>
      <c r="O29" s="90">
        <v>3.5000000000000003E-2</v>
      </c>
    </row>
    <row r="30" spans="2:20" x14ac:dyDescent="0.25">
      <c r="B30" s="9" t="s">
        <v>104</v>
      </c>
      <c r="C30" s="54">
        <v>3000</v>
      </c>
      <c r="D30" s="46">
        <f>C30*O5</f>
        <v>24</v>
      </c>
      <c r="E30" s="31"/>
      <c r="F30" s="31"/>
      <c r="G30" s="31"/>
      <c r="H30" s="30">
        <f>VLOOKUP(C33,I27:J37,2,FALSE)</f>
        <v>35</v>
      </c>
      <c r="I30" s="90">
        <v>3</v>
      </c>
      <c r="J30" s="90">
        <f>2*35*90%</f>
        <v>63</v>
      </c>
      <c r="O30" s="90">
        <v>5.0000000000000001E-3</v>
      </c>
      <c r="P30" s="158" t="s">
        <v>40</v>
      </c>
      <c r="Q30" s="158"/>
      <c r="R30" s="158"/>
      <c r="S30" s="158"/>
    </row>
    <row r="31" spans="2:20" x14ac:dyDescent="0.25">
      <c r="B31" s="9" t="s">
        <v>48</v>
      </c>
      <c r="C31" s="54">
        <v>56500</v>
      </c>
      <c r="D31" s="46">
        <f>C31*O4</f>
        <v>395.5</v>
      </c>
      <c r="E31" s="31"/>
      <c r="F31" s="31"/>
      <c r="G31" s="31"/>
      <c r="I31" s="90">
        <v>4</v>
      </c>
      <c r="J31" s="90">
        <f>2*35*85%</f>
        <v>59.5</v>
      </c>
      <c r="O31" s="90">
        <f>Q31</f>
        <v>3</v>
      </c>
      <c r="Q31" s="131">
        <f>SUM(Q32:Q37)</f>
        <v>3</v>
      </c>
      <c r="R31" s="131"/>
      <c r="S31" s="131"/>
    </row>
    <row r="32" spans="2:20" x14ac:dyDescent="0.25">
      <c r="B32" s="7"/>
      <c r="C32" s="17"/>
      <c r="D32" s="46">
        <f>35</f>
        <v>35</v>
      </c>
      <c r="E32" s="31"/>
      <c r="F32" s="31"/>
      <c r="G32" s="31"/>
      <c r="H32" s="30" t="s">
        <v>101</v>
      </c>
      <c r="I32" s="90">
        <v>5</v>
      </c>
      <c r="J32" s="90">
        <f>2*35*80%</f>
        <v>56</v>
      </c>
      <c r="P32" s="131">
        <v>0.5</v>
      </c>
      <c r="Q32" s="131">
        <f t="shared" ref="Q32:Q37" si="0">IF($D$40&gt;=R32,IF($D$40&lt;=S32,P32,0),0)</f>
        <v>0</v>
      </c>
      <c r="R32" s="131">
        <v>0</v>
      </c>
      <c r="S32" s="131">
        <v>251</v>
      </c>
    </row>
    <row r="33" spans="2:20" x14ac:dyDescent="0.25">
      <c r="B33" s="9" t="s">
        <v>92</v>
      </c>
      <c r="C33" s="61">
        <v>1</v>
      </c>
      <c r="D33" s="62" t="str">
        <f>IF(C33&gt;9," (Hasta 70 años)", " ")</f>
        <v xml:space="preserve"> </v>
      </c>
      <c r="E33" s="31"/>
      <c r="F33" s="31"/>
      <c r="G33" s="31"/>
      <c r="H33" s="132">
        <f>ROUND(SUM(D27:D34),2)</f>
        <v>733.3</v>
      </c>
      <c r="I33" s="90">
        <v>6</v>
      </c>
      <c r="J33" s="90">
        <f t="shared" ref="J33:J37" si="1">2*35*80%</f>
        <v>56</v>
      </c>
      <c r="N33" s="90">
        <f>VLOOKUP(C49,P42:S43,3,FALSE)</f>
        <v>3</v>
      </c>
      <c r="P33" s="131">
        <v>1</v>
      </c>
      <c r="Q33" s="131">
        <f t="shared" si="0"/>
        <v>0</v>
      </c>
      <c r="R33" s="131">
        <v>251</v>
      </c>
      <c r="S33" s="131">
        <v>501</v>
      </c>
    </row>
    <row r="34" spans="2:20" x14ac:dyDescent="0.25">
      <c r="B34" s="33" t="s">
        <v>95</v>
      </c>
      <c r="C34" s="54">
        <f>I22*C33</f>
        <v>5000</v>
      </c>
      <c r="D34" s="46">
        <f>H30</f>
        <v>35</v>
      </c>
      <c r="E34" s="31"/>
      <c r="F34" s="31"/>
      <c r="G34" s="31"/>
      <c r="H34" s="30">
        <v>100</v>
      </c>
      <c r="I34" s="90">
        <v>7</v>
      </c>
      <c r="J34" s="90">
        <f t="shared" si="1"/>
        <v>56</v>
      </c>
      <c r="P34" s="131">
        <v>3</v>
      </c>
      <c r="Q34" s="131">
        <f t="shared" si="0"/>
        <v>3</v>
      </c>
      <c r="R34" s="131">
        <v>501</v>
      </c>
      <c r="S34" s="131">
        <v>1001</v>
      </c>
    </row>
    <row r="35" spans="2:20" x14ac:dyDescent="0.25">
      <c r="B35" s="33" t="s">
        <v>105</v>
      </c>
      <c r="C35" s="54">
        <f>I23*C33</f>
        <v>1000</v>
      </c>
      <c r="D35" s="57"/>
      <c r="E35" s="31"/>
      <c r="F35" s="31"/>
      <c r="G35" s="31"/>
      <c r="I35" s="90">
        <v>8</v>
      </c>
      <c r="J35" s="90">
        <f t="shared" si="1"/>
        <v>56</v>
      </c>
      <c r="O35" s="90">
        <v>0.12</v>
      </c>
      <c r="P35" s="131">
        <v>5</v>
      </c>
      <c r="Q35" s="131">
        <f t="shared" si="0"/>
        <v>0</v>
      </c>
      <c r="R35" s="131">
        <v>1001</v>
      </c>
      <c r="S35" s="131">
        <v>2001</v>
      </c>
    </row>
    <row r="36" spans="2:20" x14ac:dyDescent="0.25">
      <c r="B36" s="33" t="s">
        <v>53</v>
      </c>
      <c r="C36" s="54">
        <f>IF(H30&gt;0,500,0)</f>
        <v>500</v>
      </c>
      <c r="D36" s="57"/>
      <c r="E36" s="31"/>
      <c r="F36" s="31"/>
      <c r="G36" s="31"/>
      <c r="I36" s="90">
        <v>9</v>
      </c>
      <c r="J36" s="90">
        <f t="shared" si="1"/>
        <v>56</v>
      </c>
      <c r="P36" s="131">
        <v>7</v>
      </c>
      <c r="Q36" s="131">
        <f t="shared" si="0"/>
        <v>0</v>
      </c>
      <c r="R36" s="131">
        <v>2001</v>
      </c>
      <c r="S36" s="131">
        <v>4001</v>
      </c>
    </row>
    <row r="37" spans="2:20" x14ac:dyDescent="0.25">
      <c r="B37" s="33" t="s">
        <v>54</v>
      </c>
      <c r="C37" s="54">
        <f>IF(H30&gt;0,100,0)</f>
        <v>100</v>
      </c>
      <c r="D37" s="48"/>
      <c r="E37" s="31"/>
      <c r="F37" s="31"/>
      <c r="G37" s="31"/>
      <c r="I37" s="90">
        <v>10</v>
      </c>
      <c r="J37" s="90">
        <f t="shared" si="1"/>
        <v>56</v>
      </c>
      <c r="P37" s="131">
        <v>9</v>
      </c>
      <c r="Q37" s="131">
        <f t="shared" si="0"/>
        <v>0</v>
      </c>
      <c r="R37" s="131">
        <v>4001</v>
      </c>
      <c r="S37" s="133">
        <v>999999</v>
      </c>
    </row>
    <row r="38" spans="2:20" x14ac:dyDescent="0.25">
      <c r="B38" s="1" t="s">
        <v>44</v>
      </c>
      <c r="C38" s="4"/>
      <c r="D38" s="47"/>
      <c r="E38" s="31"/>
      <c r="F38" s="31"/>
      <c r="G38" s="31"/>
      <c r="O38" s="90" t="str">
        <f>VLOOKUP(C49,P42:S44,4,FALSE)</f>
        <v/>
      </c>
    </row>
    <row r="39" spans="2:20" x14ac:dyDescent="0.25">
      <c r="B39" s="32"/>
      <c r="C39" s="34"/>
      <c r="D39" s="49"/>
      <c r="E39" s="31"/>
      <c r="F39" s="31"/>
      <c r="G39" s="31"/>
      <c r="J39" s="129"/>
    </row>
    <row r="40" spans="2:20" x14ac:dyDescent="0.25">
      <c r="B40" s="5" t="s">
        <v>10</v>
      </c>
      <c r="C40" s="27"/>
      <c r="D40" s="85">
        <f>IF(H33&lt;100,H34,H33)</f>
        <v>733.3</v>
      </c>
      <c r="E40" s="31"/>
      <c r="F40" s="31"/>
      <c r="G40" s="31"/>
      <c r="P40" s="134"/>
    </row>
    <row r="41" spans="2:20" x14ac:dyDescent="0.25">
      <c r="B41" s="7" t="s">
        <v>11</v>
      </c>
      <c r="C41" s="27"/>
      <c r="D41" s="64">
        <f>ROUND(D40*3.5%,2)</f>
        <v>25.67</v>
      </c>
      <c r="E41" s="31"/>
      <c r="F41" s="31"/>
      <c r="G41" s="31"/>
      <c r="J41" s="90">
        <v>3</v>
      </c>
      <c r="P41" s="134" t="s">
        <v>41</v>
      </c>
    </row>
    <row r="42" spans="2:20" x14ac:dyDescent="0.25">
      <c r="B42" s="7" t="s">
        <v>12</v>
      </c>
      <c r="C42" s="27"/>
      <c r="D42" s="64">
        <f>ROUND(D40*0.5%,2)</f>
        <v>3.67</v>
      </c>
      <c r="E42" s="31"/>
      <c r="F42" s="31"/>
      <c r="G42" s="31"/>
      <c r="J42" s="90">
        <v>6</v>
      </c>
      <c r="P42" s="90" t="s">
        <v>15</v>
      </c>
      <c r="Q42" s="129" t="s">
        <v>75</v>
      </c>
      <c r="R42" s="90">
        <v>3</v>
      </c>
      <c r="S42" s="129" t="s">
        <v>75</v>
      </c>
    </row>
    <row r="43" spans="2:20" x14ac:dyDescent="0.25">
      <c r="B43" s="7" t="s">
        <v>13</v>
      </c>
      <c r="C43" s="27"/>
      <c r="D43" s="65">
        <f>O31</f>
        <v>3</v>
      </c>
      <c r="E43" s="31"/>
      <c r="F43" s="31"/>
      <c r="G43" s="31"/>
      <c r="J43" s="90">
        <v>12</v>
      </c>
      <c r="P43" s="90" t="s">
        <v>99</v>
      </c>
      <c r="Q43" s="90">
        <v>2</v>
      </c>
      <c r="R43" s="90">
        <v>2</v>
      </c>
      <c r="S43" s="90" t="s">
        <v>42</v>
      </c>
    </row>
    <row r="44" spans="2:20" x14ac:dyDescent="0.25">
      <c r="B44" s="9" t="s">
        <v>14</v>
      </c>
      <c r="C44" s="27"/>
      <c r="D44" s="63">
        <f>ROUND(SUM(D40:D43),2)</f>
        <v>765.64</v>
      </c>
      <c r="E44" s="31"/>
      <c r="F44" s="31"/>
      <c r="G44" s="31"/>
    </row>
    <row r="45" spans="2:20" x14ac:dyDescent="0.25">
      <c r="B45" s="10" t="s">
        <v>117</v>
      </c>
      <c r="C45" s="27"/>
      <c r="D45" s="64">
        <f>ROUND(D44*14%,2)</f>
        <v>107.19</v>
      </c>
      <c r="E45" s="31"/>
      <c r="F45" s="31"/>
      <c r="G45" s="31"/>
      <c r="N45" s="135"/>
    </row>
    <row r="46" spans="2:20" x14ac:dyDescent="0.25">
      <c r="B46" s="11"/>
      <c r="C46" s="27"/>
      <c r="D46" s="66"/>
      <c r="E46" s="31"/>
      <c r="F46" s="31"/>
      <c r="G46" s="31"/>
      <c r="R46" s="136"/>
      <c r="S46" s="136"/>
    </row>
    <row r="47" spans="2:20" x14ac:dyDescent="0.25">
      <c r="B47" s="2" t="s">
        <v>43</v>
      </c>
      <c r="C47" s="27"/>
      <c r="D47" s="63">
        <f>ROUND(SUM(D44:D45),2)</f>
        <v>872.83</v>
      </c>
      <c r="E47" s="31"/>
      <c r="F47" s="31"/>
      <c r="G47" s="31"/>
      <c r="R47" s="137"/>
      <c r="S47" s="131"/>
    </row>
    <row r="48" spans="2:20" x14ac:dyDescent="0.25">
      <c r="B48" s="12"/>
      <c r="C48" s="6"/>
      <c r="D48" s="13"/>
      <c r="E48" s="31"/>
      <c r="F48" s="31"/>
      <c r="G48" s="31"/>
      <c r="R48" s="137"/>
      <c r="S48" s="138"/>
      <c r="T48" s="136"/>
    </row>
    <row r="49" spans="2:20" x14ac:dyDescent="0.25">
      <c r="B49" s="2" t="s">
        <v>74</v>
      </c>
      <c r="C49" s="162" t="s">
        <v>15</v>
      </c>
      <c r="D49" s="163"/>
      <c r="E49" s="31"/>
      <c r="F49" s="31"/>
      <c r="G49" s="31"/>
      <c r="R49" s="137"/>
      <c r="S49" s="138"/>
      <c r="T49" s="139"/>
    </row>
    <row r="50" spans="2:20" x14ac:dyDescent="0.25">
      <c r="B50" s="26" t="str">
        <f>VLOOKUP(C49,P42:S43,4,FALSE)</f>
        <v/>
      </c>
      <c r="C50" s="60" t="s">
        <v>0</v>
      </c>
      <c r="D50" s="58"/>
      <c r="E50" s="31"/>
      <c r="F50" s="31"/>
      <c r="G50" s="31"/>
      <c r="R50" s="137"/>
      <c r="S50" s="138"/>
      <c r="T50" s="139"/>
    </row>
    <row r="51" spans="2:20" ht="15.75" x14ac:dyDescent="0.25">
      <c r="B51" s="12"/>
      <c r="C51" s="27"/>
      <c r="D51" s="50" t="str">
        <f>IF(N33=2,"___________","")</f>
        <v/>
      </c>
      <c r="E51" s="31"/>
      <c r="F51" s="31"/>
      <c r="G51" s="31"/>
      <c r="R51" s="137"/>
      <c r="S51" s="138"/>
      <c r="T51" s="139"/>
    </row>
    <row r="52" spans="2:20" ht="15.75" x14ac:dyDescent="0.25">
      <c r="B52" s="52" t="str">
        <f>IF(N33=3,"Valor a Pagar con Descuento", "Valor a Pagar")</f>
        <v>Valor a Pagar con Descuento</v>
      </c>
      <c r="C52" s="27"/>
      <c r="D52" s="59">
        <f>IF(N33=2,F45+D47,K26)</f>
        <v>846.65</v>
      </c>
      <c r="E52" s="31"/>
      <c r="F52" s="31"/>
      <c r="G52" s="31"/>
      <c r="R52" s="137"/>
      <c r="S52" s="138"/>
      <c r="T52" s="139"/>
    </row>
    <row r="53" spans="2:20" x14ac:dyDescent="0.25">
      <c r="B53" s="12"/>
      <c r="C53" s="25"/>
      <c r="D53" s="13"/>
      <c r="E53" s="31"/>
      <c r="F53" s="31"/>
      <c r="G53" s="31"/>
      <c r="R53" s="137"/>
      <c r="S53" s="138"/>
      <c r="T53" s="139"/>
    </row>
    <row r="54" spans="2:20" ht="15.75" x14ac:dyDescent="0.25">
      <c r="B54" s="26" t="str">
        <f>IF(N33&lt;&gt;3,"Cuota inicial de ","")</f>
        <v/>
      </c>
      <c r="C54" s="28" t="str">
        <f>IF(N33&lt;&gt;3,Q23,"")</f>
        <v/>
      </c>
      <c r="D54" s="13"/>
      <c r="E54" s="31"/>
      <c r="F54" s="31"/>
      <c r="G54" s="31"/>
      <c r="R54" s="137"/>
      <c r="S54" s="138"/>
      <c r="T54" s="139"/>
    </row>
    <row r="55" spans="2:20" ht="16.5" thickBot="1" x14ac:dyDescent="0.3">
      <c r="B55" s="51" t="str">
        <f>IF(N33&lt;&gt;3,CONCATENATE("Y ",Q24," ",O38," de"),"")</f>
        <v/>
      </c>
      <c r="C55" s="29" t="str">
        <f>IF(N33&lt;&gt;3,Q20,"")</f>
        <v/>
      </c>
      <c r="D55" s="16"/>
      <c r="E55" s="31"/>
      <c r="F55" s="31"/>
      <c r="G55" s="31"/>
      <c r="R55" s="137"/>
      <c r="S55" s="138"/>
      <c r="T55" s="139"/>
    </row>
    <row r="56" spans="2:20" x14ac:dyDescent="0.25">
      <c r="B56" s="4"/>
      <c r="C56" s="14"/>
      <c r="D56" s="15"/>
      <c r="E56" s="31"/>
      <c r="F56" s="31"/>
      <c r="G56" s="31"/>
      <c r="R56" s="137"/>
      <c r="S56" s="138"/>
      <c r="T56" s="139"/>
    </row>
    <row r="57" spans="2:20" x14ac:dyDescent="0.25">
      <c r="B57" s="4"/>
      <c r="C57" s="14"/>
      <c r="D57" s="15"/>
      <c r="E57" s="31"/>
      <c r="F57" s="31"/>
      <c r="G57" s="31"/>
      <c r="R57" s="137"/>
      <c r="S57" s="138"/>
      <c r="T57" s="139"/>
    </row>
    <row r="58" spans="2:20" x14ac:dyDescent="0.25">
      <c r="B58" s="4"/>
      <c r="C58" s="68"/>
      <c r="D58" s="15"/>
      <c r="E58" s="31"/>
      <c r="F58" s="31"/>
      <c r="G58" s="31"/>
      <c r="R58" s="137"/>
      <c r="S58" s="138"/>
      <c r="T58" s="139"/>
    </row>
    <row r="59" spans="2:20" ht="15.75" thickBot="1" x14ac:dyDescent="0.3">
      <c r="B59" s="4"/>
      <c r="C59" s="14"/>
      <c r="D59" s="15"/>
      <c r="E59" s="31"/>
      <c r="F59" s="31"/>
      <c r="G59" s="31"/>
      <c r="R59" s="137"/>
      <c r="S59" s="138"/>
      <c r="T59" s="139"/>
    </row>
    <row r="60" spans="2:20" x14ac:dyDescent="0.25">
      <c r="B60" s="19"/>
      <c r="C60" s="20"/>
      <c r="D60" s="38">
        <f ca="1">NOW()</f>
        <v>42552.516470023147</v>
      </c>
      <c r="E60" s="31"/>
      <c r="F60" s="31"/>
      <c r="G60" s="31"/>
      <c r="R60" s="137"/>
      <c r="S60" s="138"/>
      <c r="T60" s="139"/>
    </row>
    <row r="61" spans="2:20" x14ac:dyDescent="0.25">
      <c r="B61" s="12"/>
      <c r="C61" s="4"/>
      <c r="D61" s="37"/>
      <c r="E61" s="31"/>
      <c r="F61" s="31"/>
      <c r="G61" s="31"/>
      <c r="R61" s="137"/>
      <c r="S61" s="138"/>
      <c r="T61" s="139"/>
    </row>
    <row r="62" spans="2:20" x14ac:dyDescent="0.25">
      <c r="B62" s="22" t="s">
        <v>37</v>
      </c>
      <c r="C62" s="21"/>
      <c r="D62" s="43"/>
      <c r="E62" s="31"/>
      <c r="F62" s="31"/>
      <c r="G62" s="31"/>
      <c r="R62" s="137"/>
      <c r="S62" s="138"/>
      <c r="T62" s="139"/>
    </row>
    <row r="63" spans="2:20" x14ac:dyDescent="0.25">
      <c r="B63" s="12"/>
      <c r="C63" s="4"/>
      <c r="D63" s="13"/>
      <c r="E63" s="31"/>
      <c r="F63" s="31"/>
      <c r="G63" s="31"/>
      <c r="R63" s="137"/>
      <c r="S63" s="138"/>
      <c r="T63" s="139"/>
    </row>
    <row r="64" spans="2:20" x14ac:dyDescent="0.25">
      <c r="B64" s="12"/>
      <c r="C64" s="4"/>
      <c r="D64" s="13"/>
      <c r="E64" s="31"/>
      <c r="F64" s="31"/>
      <c r="G64" s="31"/>
      <c r="R64" s="137"/>
      <c r="S64" s="138"/>
      <c r="T64" s="139"/>
    </row>
    <row r="65" spans="2:20" x14ac:dyDescent="0.25">
      <c r="B65" s="12"/>
      <c r="C65" s="4"/>
      <c r="D65" s="13"/>
      <c r="E65" s="31"/>
      <c r="F65" s="31"/>
      <c r="G65" s="31"/>
      <c r="R65" s="137"/>
      <c r="S65" s="138"/>
      <c r="T65" s="139"/>
    </row>
    <row r="66" spans="2:20" x14ac:dyDescent="0.25">
      <c r="B66" s="1" t="s">
        <v>45</v>
      </c>
      <c r="C66" s="4"/>
      <c r="D66" s="45"/>
      <c r="E66" s="31"/>
      <c r="F66" s="31"/>
      <c r="G66" s="31"/>
      <c r="R66" s="137"/>
      <c r="T66" s="139"/>
    </row>
    <row r="67" spans="2:20" x14ac:dyDescent="0.25">
      <c r="B67" s="12" t="str">
        <f>IF(C33&gt;0,"Coberturas de Accidentes Personales Empleados Domesticos ( Por Evento y en Agregado), hasta 2 personas"," ")</f>
        <v>Coberturas de Accidentes Personales Empleados Domesticos ( Por Evento y en Agregado), hasta 2 personas</v>
      </c>
      <c r="C67" s="27"/>
      <c r="D67" s="41"/>
      <c r="E67" s="31"/>
      <c r="F67" s="31"/>
      <c r="G67" s="31"/>
      <c r="R67" s="137"/>
      <c r="T67" s="139"/>
    </row>
    <row r="68" spans="2:20" x14ac:dyDescent="0.25">
      <c r="B68" s="12" t="s">
        <v>82</v>
      </c>
      <c r="C68" s="27"/>
      <c r="D68" s="40"/>
      <c r="E68" s="31"/>
      <c r="F68" s="31"/>
      <c r="G68" s="31"/>
      <c r="R68" s="137"/>
    </row>
    <row r="69" spans="2:20" x14ac:dyDescent="0.25">
      <c r="B69" s="12" t="s">
        <v>56</v>
      </c>
      <c r="C69" s="4"/>
      <c r="D69" s="140">
        <v>10000</v>
      </c>
      <c r="E69" s="31"/>
      <c r="F69" s="31"/>
      <c r="G69" s="31"/>
      <c r="R69" s="137"/>
    </row>
    <row r="70" spans="2:20" x14ac:dyDescent="0.25">
      <c r="B70" s="12" t="s">
        <v>57</v>
      </c>
      <c r="C70" s="4"/>
      <c r="D70" s="140">
        <v>5000</v>
      </c>
      <c r="E70" s="31"/>
      <c r="F70" s="31"/>
      <c r="G70" s="31"/>
    </row>
    <row r="71" spans="2:20" x14ac:dyDescent="0.25">
      <c r="B71" s="12" t="s">
        <v>58</v>
      </c>
      <c r="C71" s="4"/>
      <c r="D71" s="141">
        <v>2500</v>
      </c>
      <c r="E71" s="31"/>
      <c r="F71" s="31"/>
      <c r="G71" s="31"/>
    </row>
    <row r="72" spans="2:20" x14ac:dyDescent="0.25">
      <c r="B72" s="12" t="s">
        <v>103</v>
      </c>
      <c r="C72" s="39"/>
      <c r="D72" s="142">
        <v>2000</v>
      </c>
      <c r="E72" s="31"/>
      <c r="F72" s="31"/>
      <c r="G72" s="31"/>
    </row>
    <row r="73" spans="2:20" x14ac:dyDescent="0.25">
      <c r="B73" s="11" t="str">
        <f>IF(C23&gt;0,"Clausula Electrica"," ")</f>
        <v>Clausula Electrica</v>
      </c>
      <c r="C73" s="4"/>
      <c r="D73" s="143">
        <f>IF(C23&gt;0,2500," ")</f>
        <v>2500</v>
      </c>
      <c r="E73" s="31"/>
      <c r="F73" s="31"/>
      <c r="G73" s="31"/>
    </row>
    <row r="74" spans="2:20" x14ac:dyDescent="0.25">
      <c r="B74" s="71"/>
      <c r="C74" s="27"/>
      <c r="D74" s="72"/>
      <c r="E74" s="31"/>
      <c r="F74" s="31"/>
      <c r="G74" s="31"/>
    </row>
    <row r="75" spans="2:20" x14ac:dyDescent="0.25">
      <c r="B75" s="1" t="s">
        <v>59</v>
      </c>
      <c r="C75" s="4"/>
      <c r="D75" s="13"/>
      <c r="E75" s="31"/>
      <c r="F75" s="31"/>
      <c r="G75" s="31"/>
    </row>
    <row r="76" spans="2:20" x14ac:dyDescent="0.25">
      <c r="B76" s="32"/>
      <c r="C76" s="34"/>
      <c r="D76" s="74"/>
      <c r="E76" s="31"/>
      <c r="F76" s="31"/>
      <c r="G76" s="31"/>
    </row>
    <row r="77" spans="2:20" x14ac:dyDescent="0.25">
      <c r="B77" s="12" t="s">
        <v>32</v>
      </c>
      <c r="C77" s="4"/>
      <c r="D77" s="45"/>
      <c r="E77" s="31"/>
      <c r="F77" s="31"/>
      <c r="G77" s="31"/>
    </row>
    <row r="78" spans="2:20" x14ac:dyDescent="0.25">
      <c r="B78" s="12" t="s">
        <v>94</v>
      </c>
      <c r="C78" s="4"/>
      <c r="D78" s="13"/>
      <c r="E78" s="31"/>
      <c r="F78" s="31"/>
      <c r="G78" s="31"/>
    </row>
    <row r="79" spans="2:20" x14ac:dyDescent="0.25">
      <c r="B79" s="12" t="s">
        <v>60</v>
      </c>
      <c r="C79" s="4"/>
      <c r="D79" s="13"/>
      <c r="E79" s="31"/>
      <c r="F79" s="31"/>
      <c r="G79" s="31"/>
    </row>
    <row r="80" spans="2:20" x14ac:dyDescent="0.25">
      <c r="B80" s="12" t="s">
        <v>61</v>
      </c>
      <c r="C80" s="4"/>
      <c r="D80" s="13"/>
      <c r="E80" s="31"/>
      <c r="F80" s="31"/>
      <c r="G80" s="31"/>
    </row>
    <row r="81" spans="2:7" x14ac:dyDescent="0.25">
      <c r="B81" s="12" t="s">
        <v>62</v>
      </c>
      <c r="C81" s="4"/>
      <c r="D81" s="13"/>
      <c r="E81" s="31"/>
      <c r="F81" s="31"/>
      <c r="G81" s="31"/>
    </row>
    <row r="82" spans="2:7" x14ac:dyDescent="0.25">
      <c r="B82" s="12" t="s">
        <v>63</v>
      </c>
      <c r="C82" s="4"/>
      <c r="D82" s="13"/>
      <c r="E82" s="31"/>
      <c r="F82" s="31"/>
      <c r="G82" s="31"/>
    </row>
    <row r="83" spans="2:7" x14ac:dyDescent="0.25">
      <c r="B83" s="164" t="s">
        <v>100</v>
      </c>
      <c r="C83" s="149"/>
      <c r="D83" s="150"/>
      <c r="E83" s="31"/>
      <c r="F83" s="31"/>
      <c r="G83" s="31"/>
    </row>
    <row r="84" spans="2:7" x14ac:dyDescent="0.25">
      <c r="B84" s="12"/>
      <c r="C84" s="4"/>
      <c r="D84" s="13"/>
      <c r="E84" s="31"/>
      <c r="F84" s="31"/>
      <c r="G84" s="31"/>
    </row>
    <row r="85" spans="2:7" x14ac:dyDescent="0.25">
      <c r="B85" s="1" t="s">
        <v>64</v>
      </c>
      <c r="C85" s="4"/>
      <c r="D85" s="13"/>
      <c r="E85" s="31"/>
      <c r="F85" s="31"/>
      <c r="G85" s="31"/>
    </row>
    <row r="86" spans="2:7" x14ac:dyDescent="0.25">
      <c r="B86" s="32"/>
      <c r="C86" s="34"/>
      <c r="D86" s="74"/>
      <c r="E86" s="31"/>
      <c r="F86" s="31"/>
      <c r="G86" s="31"/>
    </row>
    <row r="87" spans="2:7" x14ac:dyDescent="0.25">
      <c r="B87" s="35" t="s">
        <v>65</v>
      </c>
      <c r="C87" s="4"/>
      <c r="D87" s="13"/>
      <c r="E87" s="31"/>
      <c r="F87" s="31"/>
      <c r="G87" s="31"/>
    </row>
    <row r="88" spans="2:7" x14ac:dyDescent="0.25">
      <c r="B88" s="36" t="s">
        <v>66</v>
      </c>
      <c r="C88" s="4"/>
      <c r="D88" s="13"/>
      <c r="E88" s="31"/>
      <c r="F88" s="31"/>
      <c r="G88" s="31"/>
    </row>
    <row r="89" spans="2:7" x14ac:dyDescent="0.25">
      <c r="B89" s="36" t="s">
        <v>67</v>
      </c>
      <c r="C89" s="4"/>
      <c r="D89" s="13"/>
      <c r="E89" s="31"/>
      <c r="F89" s="31"/>
      <c r="G89" s="31"/>
    </row>
    <row r="90" spans="2:7" x14ac:dyDescent="0.25">
      <c r="B90" s="36" t="s">
        <v>68</v>
      </c>
      <c r="C90" s="4"/>
      <c r="D90" s="13"/>
      <c r="E90" s="31"/>
      <c r="F90" s="31"/>
      <c r="G90" s="31"/>
    </row>
    <row r="91" spans="2:7" ht="15" customHeight="1" x14ac:dyDescent="0.25">
      <c r="B91" s="36" t="s">
        <v>69</v>
      </c>
      <c r="C91" s="4"/>
      <c r="D91" s="13"/>
      <c r="E91" s="31"/>
      <c r="F91" s="31"/>
      <c r="G91" s="31"/>
    </row>
    <row r="92" spans="2:7" x14ac:dyDescent="0.25">
      <c r="B92" s="11" t="s">
        <v>70</v>
      </c>
      <c r="C92" s="4"/>
      <c r="D92" s="13"/>
      <c r="E92" s="31"/>
      <c r="F92" s="31"/>
      <c r="G92" s="31"/>
    </row>
    <row r="93" spans="2:7" x14ac:dyDescent="0.25">
      <c r="B93" s="11" t="str">
        <f>IF(C24&gt;0,"Equipos fuera del Predio Asegurado (Portabilidad)"," ")</f>
        <v>Equipos fuera del Predio Asegurado (Portabilidad)</v>
      </c>
      <c r="C93" s="4"/>
      <c r="D93" s="13"/>
      <c r="E93" s="31"/>
      <c r="F93" s="31"/>
      <c r="G93" s="31"/>
    </row>
    <row r="94" spans="2:7" ht="15" customHeight="1" x14ac:dyDescent="0.25">
      <c r="B94" s="11"/>
      <c r="C94" s="4"/>
      <c r="D94" s="13"/>
      <c r="E94" s="31"/>
      <c r="F94" s="31"/>
      <c r="G94" s="31"/>
    </row>
    <row r="95" spans="2:7" ht="15" customHeight="1" x14ac:dyDescent="0.25">
      <c r="B95" s="1" t="s">
        <v>38</v>
      </c>
      <c r="C95" s="4"/>
      <c r="D95" s="13"/>
      <c r="E95" s="31"/>
      <c r="F95" s="31"/>
      <c r="G95" s="31"/>
    </row>
    <row r="96" spans="2:7" x14ac:dyDescent="0.25">
      <c r="B96" s="32"/>
      <c r="C96" s="34"/>
      <c r="D96" s="74"/>
      <c r="E96" s="31"/>
      <c r="F96" s="31"/>
      <c r="G96" s="31"/>
    </row>
    <row r="97" spans="2:59" x14ac:dyDescent="0.25">
      <c r="B97" s="35" t="s">
        <v>71</v>
      </c>
      <c r="C97" s="4"/>
      <c r="D97" s="13"/>
      <c r="E97" s="31"/>
      <c r="F97" s="31"/>
      <c r="G97" s="31"/>
    </row>
    <row r="98" spans="2:59" x14ac:dyDescent="0.25">
      <c r="B98" s="155" t="s">
        <v>119</v>
      </c>
      <c r="C98" s="156"/>
      <c r="D98" s="157"/>
      <c r="E98" s="31"/>
      <c r="F98" s="31"/>
      <c r="G98" s="31"/>
    </row>
    <row r="99" spans="2:59" x14ac:dyDescent="0.25">
      <c r="B99" s="35" t="s">
        <v>72</v>
      </c>
      <c r="C99" s="4"/>
      <c r="D99" s="13"/>
      <c r="E99" s="31"/>
      <c r="F99" s="31"/>
      <c r="G99" s="31"/>
    </row>
    <row r="100" spans="2:59" ht="15" customHeight="1" x14ac:dyDescent="0.25">
      <c r="B100" s="12" t="s">
        <v>107</v>
      </c>
      <c r="C100" s="4"/>
      <c r="D100" s="13"/>
      <c r="E100" s="31"/>
      <c r="F100" s="31"/>
      <c r="G100" s="31"/>
    </row>
    <row r="101" spans="2:59" x14ac:dyDescent="0.25">
      <c r="B101" s="35" t="str">
        <f>IF(C33&gt;0,"Accidentes Personales:"," ")</f>
        <v>Accidentes Personales:</v>
      </c>
      <c r="C101" s="4"/>
      <c r="D101" s="13"/>
      <c r="E101" s="31"/>
      <c r="F101" s="31"/>
      <c r="G101" s="31"/>
    </row>
    <row r="102" spans="2:59" x14ac:dyDescent="0.25">
      <c r="B102" s="71" t="str">
        <f>IF(C33&gt;0,"USD 50.00 Gastos Medicos"," ")</f>
        <v>USD 50.00 Gastos Medicos</v>
      </c>
      <c r="C102" s="4"/>
      <c r="D102" s="13"/>
      <c r="E102" s="31"/>
      <c r="F102" s="31"/>
      <c r="G102" s="31"/>
    </row>
    <row r="103" spans="2:59" ht="15.75" thickBot="1" x14ac:dyDescent="0.3">
      <c r="B103" s="73"/>
      <c r="C103" s="23"/>
      <c r="D103" s="16"/>
      <c r="E103" s="31"/>
      <c r="F103" s="34"/>
      <c r="G103" s="31"/>
    </row>
    <row r="104" spans="2:59" x14ac:dyDescent="0.25">
      <c r="B104" s="34"/>
      <c r="C104" s="4"/>
      <c r="D104" s="4"/>
      <c r="E104" s="31"/>
      <c r="F104" s="31"/>
      <c r="G104" s="31"/>
    </row>
    <row r="105" spans="2:59" x14ac:dyDescent="0.25">
      <c r="B105" s="144" t="s">
        <v>106</v>
      </c>
      <c r="C105" s="144"/>
      <c r="D105" s="144"/>
      <c r="E105" s="31"/>
      <c r="F105" s="84"/>
      <c r="G105" s="31"/>
    </row>
    <row r="106" spans="2:59" x14ac:dyDescent="0.25">
      <c r="B106" s="145" t="s">
        <v>112</v>
      </c>
      <c r="C106" s="145"/>
      <c r="D106" s="145"/>
      <c r="E106" s="31"/>
      <c r="F106" s="31"/>
      <c r="G106" s="31"/>
    </row>
    <row r="107" spans="2:59" s="3" customFormat="1" x14ac:dyDescent="0.25">
      <c r="B107" s="146" t="s">
        <v>113</v>
      </c>
      <c r="C107" s="146"/>
      <c r="D107" s="146"/>
      <c r="E107" s="31"/>
      <c r="F107" s="31"/>
      <c r="G107" s="31"/>
      <c r="H107" s="3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30"/>
      <c r="AF107" s="30"/>
      <c r="AG107" s="24"/>
      <c r="AH107" s="24"/>
      <c r="AI107" s="24"/>
      <c r="AJ107" s="24"/>
      <c r="AK107" s="24"/>
      <c r="AL107" s="24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2:59" s="3" customFormat="1" x14ac:dyDescent="0.25">
      <c r="B108" s="147" t="s">
        <v>114</v>
      </c>
      <c r="C108" s="147"/>
      <c r="D108" s="147"/>
      <c r="E108" s="31"/>
      <c r="F108" s="31"/>
      <c r="G108" s="31"/>
      <c r="H108" s="3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30"/>
      <c r="AF108" s="30"/>
      <c r="AG108" s="24"/>
      <c r="AH108" s="24"/>
      <c r="AI108" s="24"/>
      <c r="AJ108" s="24"/>
      <c r="AK108" s="24"/>
      <c r="AL108" s="24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</row>
    <row r="109" spans="2:59" s="3" customFormat="1" x14ac:dyDescent="0.25">
      <c r="B109"/>
      <c r="C109"/>
      <c r="D109"/>
      <c r="E109" s="31"/>
      <c r="F109" s="31"/>
      <c r="G109" s="31"/>
      <c r="H109" s="3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30"/>
      <c r="AF109" s="30"/>
      <c r="AG109" s="24"/>
      <c r="AH109" s="24"/>
      <c r="AI109" s="24"/>
      <c r="AJ109" s="24"/>
      <c r="AK109" s="24"/>
      <c r="AL109" s="24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</row>
    <row r="110" spans="2:59" s="3" customFormat="1" x14ac:dyDescent="0.25">
      <c r="B110"/>
      <c r="C110"/>
      <c r="D110"/>
      <c r="E110" s="31"/>
      <c r="F110" s="31"/>
      <c r="G110" s="31"/>
      <c r="H110" s="3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30"/>
      <c r="AF110" s="30"/>
      <c r="AG110" s="24"/>
      <c r="AH110" s="24"/>
      <c r="AI110" s="24"/>
      <c r="AJ110" s="24"/>
      <c r="AK110" s="24"/>
      <c r="AL110" s="24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</row>
    <row r="111" spans="2:59" s="3" customFormat="1" x14ac:dyDescent="0.25">
      <c r="B111"/>
      <c r="C111"/>
      <c r="D111"/>
      <c r="E111" s="31"/>
      <c r="F111" s="31"/>
      <c r="G111" s="31"/>
      <c r="H111" s="3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30"/>
      <c r="AF111" s="30"/>
      <c r="AG111" s="24"/>
      <c r="AH111" s="24"/>
      <c r="AI111" s="24"/>
      <c r="AJ111" s="24"/>
      <c r="AK111" s="24"/>
      <c r="AL111" s="24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</row>
    <row r="112" spans="2:59" s="3" customFormat="1" x14ac:dyDescent="0.25">
      <c r="B112"/>
      <c r="C112"/>
      <c r="D112"/>
      <c r="E112" s="31"/>
      <c r="F112" s="31"/>
      <c r="G112" s="31"/>
      <c r="H112" s="3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30"/>
      <c r="AF112" s="30"/>
      <c r="AG112" s="24"/>
      <c r="AH112" s="24"/>
      <c r="AI112" s="24"/>
      <c r="AJ112" s="24"/>
      <c r="AK112" s="24"/>
      <c r="AL112" s="24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</row>
    <row r="113" spans="2:59" s="3" customFormat="1" x14ac:dyDescent="0.25">
      <c r="B113"/>
      <c r="C113"/>
      <c r="D113"/>
      <c r="E113" s="31"/>
      <c r="F113" s="31"/>
      <c r="G113" s="31"/>
      <c r="H113" s="3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30"/>
      <c r="AF113" s="30"/>
      <c r="AG113" s="24"/>
      <c r="AH113" s="24"/>
      <c r="AI113" s="24"/>
      <c r="AJ113" s="24"/>
      <c r="AK113" s="24"/>
      <c r="AL113" s="24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</row>
    <row r="114" spans="2:59" s="3" customFormat="1" x14ac:dyDescent="0.25">
      <c r="B114"/>
      <c r="C114"/>
      <c r="D114"/>
      <c r="E114" s="24"/>
      <c r="F114" s="24"/>
      <c r="G114" s="24"/>
      <c r="H114" s="3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30"/>
      <c r="AF114" s="30"/>
      <c r="AG114" s="24"/>
      <c r="AH114" s="24"/>
      <c r="AI114" s="24"/>
      <c r="AJ114" s="24"/>
      <c r="AK114" s="24"/>
      <c r="AL114" s="24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</row>
    <row r="115" spans="2:59" s="3" customFormat="1" x14ac:dyDescent="0.25">
      <c r="B115"/>
      <c r="C115"/>
      <c r="D115"/>
      <c r="E115" s="24"/>
      <c r="F115" s="24"/>
      <c r="G115" s="24"/>
      <c r="H115" s="3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30"/>
      <c r="AF115" s="30"/>
      <c r="AG115" s="24"/>
      <c r="AH115" s="24"/>
      <c r="AI115" s="24"/>
      <c r="AJ115" s="24"/>
      <c r="AK115" s="24"/>
      <c r="AL115" s="24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</row>
    <row r="116" spans="2:59" s="3" customFormat="1" x14ac:dyDescent="0.25">
      <c r="B116"/>
      <c r="C116"/>
      <c r="D116"/>
      <c r="E116" s="24"/>
      <c r="F116" s="24"/>
      <c r="G116" s="24"/>
      <c r="H116" s="3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30"/>
      <c r="AF116" s="30"/>
      <c r="AG116" s="24"/>
      <c r="AH116" s="24"/>
      <c r="AI116" s="24"/>
      <c r="AJ116" s="24"/>
      <c r="AK116" s="24"/>
      <c r="AL116" s="24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</row>
    <row r="117" spans="2:59" s="3" customFormat="1" x14ac:dyDescent="0.25">
      <c r="B117"/>
      <c r="C117"/>
      <c r="D117"/>
      <c r="E117" s="24"/>
      <c r="F117" s="24"/>
      <c r="G117" s="24"/>
      <c r="H117" s="3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30"/>
      <c r="AF117" s="30"/>
      <c r="AG117" s="24"/>
      <c r="AH117" s="24"/>
      <c r="AI117" s="24"/>
      <c r="AJ117" s="24"/>
      <c r="AK117" s="24"/>
      <c r="AL117" s="24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</row>
    <row r="118" spans="2:59" s="3" customFormat="1" x14ac:dyDescent="0.25">
      <c r="B118"/>
      <c r="C118"/>
      <c r="D118"/>
      <c r="E118" s="24"/>
      <c r="F118" s="24"/>
      <c r="G118" s="24"/>
      <c r="H118" s="3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30"/>
      <c r="AF118" s="30"/>
      <c r="AG118" s="24"/>
      <c r="AH118" s="24"/>
      <c r="AI118" s="24"/>
      <c r="AJ118" s="24"/>
      <c r="AK118" s="24"/>
      <c r="AL118" s="24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</row>
    <row r="119" spans="2:59" s="3" customFormat="1" x14ac:dyDescent="0.25">
      <c r="B119"/>
      <c r="C119"/>
      <c r="D119"/>
      <c r="E119" s="24"/>
      <c r="F119" s="24"/>
      <c r="G119" s="24"/>
      <c r="H119" s="3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30"/>
      <c r="AF119" s="30"/>
      <c r="AG119" s="24"/>
      <c r="AH119" s="24"/>
      <c r="AI119" s="24"/>
      <c r="AJ119" s="24"/>
      <c r="AK119" s="24"/>
      <c r="AL119" s="24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</row>
    <row r="120" spans="2:59" s="3" customFormat="1" x14ac:dyDescent="0.25">
      <c r="B120"/>
      <c r="C120"/>
      <c r="D120"/>
      <c r="E120" s="24"/>
      <c r="F120" s="24"/>
      <c r="G120" s="24"/>
      <c r="H120" s="3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30"/>
      <c r="AF120" s="30"/>
      <c r="AG120" s="24"/>
      <c r="AH120" s="24"/>
      <c r="AI120" s="24"/>
      <c r="AJ120" s="24"/>
      <c r="AK120" s="24"/>
      <c r="AL120" s="24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</row>
    <row r="121" spans="2:59" s="3" customFormat="1" x14ac:dyDescent="0.25">
      <c r="B121"/>
      <c r="C121"/>
      <c r="D121"/>
      <c r="E121" s="24"/>
      <c r="F121" s="24"/>
      <c r="G121" s="24"/>
      <c r="H121" s="3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30"/>
      <c r="AF121" s="30"/>
      <c r="AG121" s="24"/>
      <c r="AH121" s="24"/>
      <c r="AI121" s="24"/>
      <c r="AJ121" s="24"/>
      <c r="AK121" s="24"/>
      <c r="AL121" s="24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</row>
    <row r="122" spans="2:59" s="3" customFormat="1" x14ac:dyDescent="0.25">
      <c r="B122"/>
      <c r="C122"/>
      <c r="D122"/>
      <c r="E122" s="24"/>
      <c r="F122" s="24"/>
      <c r="G122" s="24"/>
      <c r="H122" s="3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30"/>
      <c r="AF122" s="30"/>
      <c r="AG122" s="24"/>
      <c r="AH122" s="24"/>
      <c r="AI122" s="24"/>
      <c r="AJ122" s="24"/>
      <c r="AK122" s="24"/>
      <c r="AL122" s="24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</row>
    <row r="123" spans="2:59" s="3" customFormat="1" x14ac:dyDescent="0.25">
      <c r="B123"/>
      <c r="C123"/>
      <c r="D123"/>
      <c r="E123" s="24"/>
      <c r="F123" s="24"/>
      <c r="G123" s="24"/>
      <c r="H123" s="3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30"/>
      <c r="AF123" s="30"/>
      <c r="AG123" s="24"/>
      <c r="AH123" s="24"/>
      <c r="AI123" s="24"/>
      <c r="AJ123" s="24"/>
      <c r="AK123" s="24"/>
      <c r="AL123" s="24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</row>
    <row r="124" spans="2:59" s="3" customFormat="1" x14ac:dyDescent="0.25">
      <c r="B124"/>
      <c r="C124"/>
      <c r="D124"/>
      <c r="E124" s="24"/>
      <c r="F124" s="24"/>
      <c r="G124" s="24"/>
      <c r="H124" s="3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30"/>
      <c r="AF124" s="30"/>
      <c r="AG124" s="24"/>
      <c r="AH124" s="24"/>
      <c r="AI124" s="24"/>
      <c r="AJ124" s="24"/>
      <c r="AK124" s="24"/>
      <c r="AL124" s="24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</row>
    <row r="125" spans="2:59" s="3" customFormat="1" x14ac:dyDescent="0.25">
      <c r="B125"/>
      <c r="C125"/>
      <c r="D125"/>
      <c r="E125" s="24"/>
      <c r="F125" s="24"/>
      <c r="G125" s="24"/>
      <c r="H125" s="3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30"/>
      <c r="AF125" s="30"/>
      <c r="AG125" s="24"/>
      <c r="AH125" s="24"/>
      <c r="AI125" s="24"/>
      <c r="AJ125" s="24"/>
      <c r="AK125" s="24"/>
      <c r="AL125" s="24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</row>
    <row r="126" spans="2:59" s="3" customFormat="1" x14ac:dyDescent="0.25">
      <c r="B126"/>
      <c r="C126"/>
      <c r="D126"/>
      <c r="E126" s="24"/>
      <c r="F126" s="24"/>
      <c r="G126" s="24"/>
      <c r="H126" s="3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30"/>
      <c r="AF126" s="30"/>
      <c r="AG126" s="24"/>
      <c r="AH126" s="24"/>
      <c r="AI126" s="24"/>
      <c r="AJ126" s="24"/>
      <c r="AK126" s="24"/>
      <c r="AL126" s="24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</row>
    <row r="127" spans="2:59" s="3" customFormat="1" x14ac:dyDescent="0.25">
      <c r="B127"/>
      <c r="C127"/>
      <c r="D127"/>
      <c r="E127" s="24"/>
      <c r="F127" s="24"/>
      <c r="G127" s="24"/>
      <c r="H127" s="3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30"/>
      <c r="AF127" s="30"/>
      <c r="AG127" s="24"/>
      <c r="AH127" s="24"/>
      <c r="AI127" s="24"/>
      <c r="AJ127" s="24"/>
      <c r="AK127" s="24"/>
      <c r="AL127" s="24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</row>
  </sheetData>
  <sheetProtection password="CEC4" sheet="1" objects="1" scenarios="1"/>
  <protectedRanges>
    <protectedRange sqref="C49" name="Rango06"/>
    <protectedRange sqref="C29:C33" name="Rango05"/>
    <protectedRange sqref="C22:C24" name="Rango04"/>
    <protectedRange sqref="G11" name="Rango03"/>
    <protectedRange sqref="B16" name="Rango02"/>
    <protectedRange sqref="C9:D11" name="Rango01"/>
  </protectedRanges>
  <sortState ref="F101:F115">
    <sortCondition ref="F34"/>
  </sortState>
  <dataConsolidate/>
  <mergeCells count="19">
    <mergeCell ref="P30:S30"/>
    <mergeCell ref="B7:D8"/>
    <mergeCell ref="C12:D12"/>
    <mergeCell ref="C49:D49"/>
    <mergeCell ref="B83:D83"/>
    <mergeCell ref="B16:D16"/>
    <mergeCell ref="C26:D26"/>
    <mergeCell ref="B105:D105"/>
    <mergeCell ref="B106:D106"/>
    <mergeCell ref="B107:D107"/>
    <mergeCell ref="B108:D108"/>
    <mergeCell ref="F2:G2"/>
    <mergeCell ref="C9:D9"/>
    <mergeCell ref="C10:D10"/>
    <mergeCell ref="C11:D11"/>
    <mergeCell ref="C13:D13"/>
    <mergeCell ref="F8:G8"/>
    <mergeCell ref="F9:G9"/>
    <mergeCell ref="B98:D98"/>
  </mergeCells>
  <conditionalFormatting sqref="D77">
    <cfRule type="cellIs" dxfId="3" priority="28" operator="greaterThan">
      <formula>3500</formula>
    </cfRule>
  </conditionalFormatting>
  <conditionalFormatting sqref="D82">
    <cfRule type="cellIs" dxfId="2" priority="24" operator="greaterThan">
      <formula>50000</formula>
    </cfRule>
  </conditionalFormatting>
  <conditionalFormatting sqref="D84:D97 D99:D104">
    <cfRule type="cellIs" dxfId="1" priority="22" operator="greaterThan">
      <formula>25000</formula>
    </cfRule>
  </conditionalFormatting>
  <conditionalFormatting sqref="C26:D26">
    <cfRule type="cellIs" dxfId="0" priority="1" operator="greaterThan">
      <formula>1000000</formula>
    </cfRule>
  </conditionalFormatting>
  <dataValidations xWindow="597" yWindow="296" count="10">
    <dataValidation type="list" allowBlank="1" showInputMessage="1" showErrorMessage="1" sqref="C49:D49">
      <formula1>$P$42:$P$43</formula1>
    </dataValidation>
    <dataValidation type="list" allowBlank="1" showInputMessage="1" showErrorMessage="1" sqref="C50">
      <formula1>$J$41:$J$43</formula1>
    </dataValidation>
    <dataValidation type="decimal" allowBlank="1" showInputMessage="1" showErrorMessage="1" errorTitle="ERROR" error="Se Asegura hasta el 30% de Contenido en Incendio._x000a_" sqref="C29">
      <formula1>K16</formula1>
      <formula2>K17</formula2>
    </dataValidation>
    <dataValidation type="decimal" allowBlank="1" showInputMessage="1" showErrorMessage="1" errorTitle="ERROR" error="Se Asegura hasta el 50% de Incendio. Maximo $ 100.000_x000a_" sqref="C31">
      <formula1>K20</formula1>
      <formula2>L21</formula2>
    </dataValidation>
    <dataValidation type="whole" operator="equal" allowBlank="1" showInputMessage="1" showErrorMessage="1" errorTitle="ERROR" error="Valor no puede ser diferente a lo asegurado en Equipo Electronico para Incendio._x000a_" sqref="C30">
      <formula1>J13</formula1>
    </dataValidation>
    <dataValidation type="decimal" allowBlank="1" showInputMessage="1" showErrorMessage="1" errorTitle="ERROR" error="Se Asegura hasta el 10% de Contenido en Incendio._x000a_" sqref="C24">
      <formula1>K12</formula1>
      <formula2>L13</formula2>
    </dataValidation>
    <dataValidation type="list" allowBlank="1" showInputMessage="1" showErrorMessage="1" errorTitle="ERROR" error="Cantidad permitida de Asegurado es hasta 10." sqref="C33">
      <formula1>$I$27:$I$37</formula1>
    </dataValidation>
    <dataValidation allowBlank="1" showInputMessage="1" showErrorMessage="1" errorTitle="ERROR" error="Valores de Incendio no pueden ser 0.00" sqref="C23"/>
    <dataValidation showInputMessage="1" showErrorMessage="1" sqref="C25"/>
    <dataValidation type="list" allowBlank="1" showInputMessage="1" showErrorMessage="1" sqref="G11">
      <formula1>$N$6:$N$7</formula1>
    </dataValidation>
  </dataValidations>
  <hyperlinks>
    <hyperlink ref="F9:G9" r:id="rId1" display="Anexo Asitencia Hogar"/>
  </hyperlinks>
  <pageMargins left="0.7" right="0.7" top="0.75" bottom="0.75" header="0.3" footer="0.3"/>
  <pageSetup paperSize="9" scale="84" orientation="portrait" r:id="rId2"/>
  <ignoredErrors>
    <ignoredError sqref="Q23:Q24 D52 R23:S23 Q22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Arambulo Ronald</dc:creator>
  <cp:lastModifiedBy>Arambulo Ronald</cp:lastModifiedBy>
  <cp:lastPrinted>2016-06-06T17:38:03Z</cp:lastPrinted>
  <dcterms:created xsi:type="dcterms:W3CDTF">2015-05-08T17:38:24Z</dcterms:created>
  <dcterms:modified xsi:type="dcterms:W3CDTF">2016-07-01T17:23:56Z</dcterms:modified>
</cp:coreProperties>
</file>